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416" windowHeight="6984" activeTab="0"/>
  </bookViews>
  <sheets>
    <sheet name="Base" sheetId="1" r:id="rId1"/>
    <sheet name="Sheet1" sheetId="2" r:id="rId2"/>
  </sheets>
  <definedNames>
    <definedName name="_Fill" localSheetId="0" hidden="1">'Base'!#REF!</definedName>
    <definedName name="_Fill" hidden="1">#REF!</definedName>
    <definedName name="_xlfn.SINGLE" hidden="1">#NAME?</definedName>
    <definedName name="_xlnm.Print_Area" localSheetId="0">'Base'!$A$2:$AV$91</definedName>
    <definedName name="Print_Area_MI" localSheetId="0">'Base'!$A$2:$R$91</definedName>
    <definedName name="PRINT_AREA_MI">#REF!</definedName>
    <definedName name="_xlnm.Print_Titles" localSheetId="0">'Base'!$A:$G,'Base'!$2:$7</definedName>
  </definedNames>
  <calcPr fullCalcOnLoad="1"/>
</workbook>
</file>

<file path=xl/comments1.xml><?xml version="1.0" encoding="utf-8"?>
<comments xmlns="http://schemas.openxmlformats.org/spreadsheetml/2006/main">
  <authors>
    <author>Joshy-n-Kare</author>
    <author>Tiger</author>
    <author>unclejoshy@yahoo.com</author>
    <author>uncle</author>
    <author>Josh Shramo</author>
    <author>Steve Skladanek</author>
  </authors>
  <commentList>
    <comment ref="R70" authorId="0">
      <text>
        <r>
          <rPr>
            <b/>
            <sz val="9"/>
            <rFont val="Tahoma"/>
            <family val="2"/>
          </rPr>
          <t>Joshy-n-Kare:</t>
        </r>
        <r>
          <rPr>
            <sz val="9"/>
            <rFont val="Tahoma"/>
            <family val="2"/>
          </rPr>
          <t xml:space="preserve">
Lower hot tub cover $916 pd from Op
</t>
        </r>
      </text>
    </comment>
    <comment ref="V28" authorId="1">
      <text>
        <r>
          <rPr>
            <b/>
            <sz val="9"/>
            <rFont val="Tahoma"/>
            <family val="2"/>
          </rPr>
          <t>Tiger:</t>
        </r>
        <r>
          <rPr>
            <sz val="9"/>
            <rFont val="Tahoma"/>
            <family val="2"/>
          </rPr>
          <t xml:space="preserve">
Sam bid 87k all, 36k fronts, 1600 front doors.  2 colors and trim
**approved S sides only and touch-up as needed</t>
        </r>
      </text>
    </comment>
    <comment ref="V54" authorId="1">
      <text>
        <r>
          <rPr>
            <b/>
            <sz val="9"/>
            <rFont val="Tahoma"/>
            <family val="2"/>
          </rPr>
          <t>Tiger:</t>
        </r>
        <r>
          <rPr>
            <sz val="9"/>
            <rFont val="Tahoma"/>
            <family val="2"/>
          </rPr>
          <t xml:space="preserve">
Was done when Alison redecorated
Bathrooms and foyer 7/14</t>
        </r>
      </text>
    </comment>
    <comment ref="U41" authorId="1">
      <text>
        <r>
          <rPr>
            <b/>
            <sz val="9"/>
            <rFont val="Tahoma"/>
            <family val="2"/>
          </rPr>
          <t>Tiger:</t>
        </r>
        <r>
          <rPr>
            <sz val="9"/>
            <rFont val="Tahoma"/>
            <family val="2"/>
          </rPr>
          <t xml:space="preserve">
$4262 toilet supply lines, $1365 circ pump</t>
        </r>
      </text>
    </comment>
    <comment ref="V41" authorId="1">
      <text>
        <r>
          <rPr>
            <b/>
            <sz val="9"/>
            <rFont val="Tahoma"/>
            <family val="2"/>
          </rPr>
          <t>Tiger:</t>
        </r>
        <r>
          <rPr>
            <sz val="9"/>
            <rFont val="Tahoma"/>
            <family val="2"/>
          </rPr>
          <t xml:space="preserve">
gas valves, 1 per bldg for regulating fireplace pressure, waiting to hear from Hilco if 1 will work
Assuming 1 per stack, only fixing as needed</t>
        </r>
      </text>
    </comment>
    <comment ref="V44" authorId="1">
      <text>
        <r>
          <rPr>
            <b/>
            <sz val="9"/>
            <rFont val="Tahoma"/>
            <family val="2"/>
          </rPr>
          <t>Tiger:</t>
        </r>
        <r>
          <rPr>
            <sz val="9"/>
            <rFont val="Tahoma"/>
            <family val="2"/>
          </rPr>
          <t xml:space="preserve">
Breaks from ice falling off shed roofs</t>
        </r>
      </text>
    </comment>
    <comment ref="V64" authorId="1">
      <text>
        <r>
          <rPr>
            <b/>
            <sz val="9"/>
            <rFont val="Tahoma"/>
            <family val="2"/>
          </rPr>
          <t>Tiger:</t>
        </r>
        <r>
          <rPr>
            <sz val="9"/>
            <rFont val="Tahoma"/>
            <family val="2"/>
          </rPr>
          <t xml:space="preserve">
drain pan in parking lot</t>
        </r>
      </text>
    </comment>
    <comment ref="W35" authorId="1">
      <text>
        <r>
          <rPr>
            <b/>
            <sz val="9"/>
            <rFont val="Tahoma"/>
            <family val="2"/>
          </rPr>
          <t>Tiger:</t>
        </r>
        <r>
          <rPr>
            <sz val="9"/>
            <rFont val="Tahoma"/>
            <family val="2"/>
          </rPr>
          <t xml:space="preserve">
Bldg 5&amp;6</t>
        </r>
      </text>
    </comment>
    <comment ref="V14" authorId="1">
      <text>
        <r>
          <rPr>
            <b/>
            <sz val="9"/>
            <rFont val="Tahoma"/>
            <family val="2"/>
          </rPr>
          <t>Tiger:</t>
        </r>
        <r>
          <rPr>
            <sz val="9"/>
            <rFont val="Tahoma"/>
            <family val="2"/>
          </rPr>
          <t xml:space="preserve">
thru 03.15</t>
        </r>
      </text>
    </comment>
    <comment ref="X41" authorId="2">
      <text>
        <r>
          <rPr>
            <b/>
            <sz val="9"/>
            <rFont val="Tahoma"/>
            <family val="2"/>
          </rPr>
          <t>unclejoshy@yahoo.com:</t>
        </r>
        <r>
          <rPr>
            <sz val="9"/>
            <rFont val="Tahoma"/>
            <family val="2"/>
          </rPr>
          <t xml:space="preserve">
Bldg.1; domestic hot water boiler &amp; 1 heating boiler
Bldgs.2,3; donestic hot water boilers
</t>
        </r>
      </text>
    </comment>
    <comment ref="AG18" authorId="2">
      <text>
        <r>
          <rPr>
            <b/>
            <sz val="9"/>
            <rFont val="Tahoma"/>
            <family val="2"/>
          </rPr>
          <t>unclejoshy@yahoo.com:</t>
        </r>
        <r>
          <rPr>
            <sz val="9"/>
            <rFont val="Tahoma"/>
            <family val="2"/>
          </rPr>
          <t xml:space="preserve">
$20 average increase per unit</t>
        </r>
      </text>
    </comment>
    <comment ref="Y82" authorId="3">
      <text>
        <r>
          <rPr>
            <b/>
            <sz val="9"/>
            <rFont val="Tahoma"/>
            <family val="2"/>
          </rPr>
          <t>uncle:</t>
        </r>
        <r>
          <rPr>
            <sz val="9"/>
            <rFont val="Tahoma"/>
            <family val="2"/>
          </rPr>
          <t xml:space="preserve">
estimated from 1.2018 currect reserve data</t>
        </r>
      </text>
    </comment>
    <comment ref="AB48" authorId="4">
      <text>
        <r>
          <rPr>
            <b/>
            <sz val="9"/>
            <rFont val="Tahoma"/>
            <family val="0"/>
          </rPr>
          <t>Josh Shramo:</t>
        </r>
        <r>
          <rPr>
            <sz val="9"/>
            <rFont val="Tahoma"/>
            <family val="0"/>
          </rPr>
          <t xml:space="preserve">
Estimate received on 1.29.20; both crack seal and crack fill were included in one estimate of $15,065</t>
        </r>
      </text>
    </comment>
    <comment ref="G41" authorId="4">
      <text>
        <r>
          <rPr>
            <b/>
            <sz val="9"/>
            <rFont val="Tahoma"/>
            <family val="2"/>
          </rPr>
          <t>Josh Shramo:</t>
        </r>
        <r>
          <rPr>
            <sz val="9"/>
            <rFont val="Tahoma"/>
            <family val="2"/>
          </rPr>
          <t xml:space="preserve">
Bldg.3 completed in 2019/2020
Bldg.6 completed in 2020/2021</t>
        </r>
      </text>
    </comment>
    <comment ref="G40" authorId="4">
      <text>
        <r>
          <rPr>
            <b/>
            <sz val="9"/>
            <rFont val="Tahoma"/>
            <family val="2"/>
          </rPr>
          <t>Josh Shramo:</t>
        </r>
        <r>
          <rPr>
            <sz val="9"/>
            <rFont val="Tahoma"/>
            <family val="2"/>
          </rPr>
          <t xml:space="preserve">
Bldg. 1 Dom. Hot changed out in 2016</t>
        </r>
      </text>
    </comment>
    <comment ref="G36" authorId="4">
      <text>
        <r>
          <rPr>
            <b/>
            <sz val="9"/>
            <rFont val="Tahoma"/>
            <family val="2"/>
          </rPr>
          <t>Josh Shramo:</t>
        </r>
        <r>
          <rPr>
            <sz val="9"/>
            <rFont val="Tahoma"/>
            <family val="2"/>
          </rPr>
          <t xml:space="preserve">
Est. from Turner Morris from 2020</t>
        </r>
      </text>
    </comment>
    <comment ref="AE11" authorId="4">
      <text>
        <r>
          <rPr>
            <b/>
            <sz val="9"/>
            <rFont val="Tahoma"/>
            <family val="0"/>
          </rPr>
          <t>Josh Shramo:</t>
        </r>
        <r>
          <rPr>
            <sz val="9"/>
            <rFont val="Tahoma"/>
            <family val="0"/>
          </rPr>
          <t xml:space="preserve">
$100.000 total = average of $1316/unit</t>
        </r>
      </text>
    </comment>
    <comment ref="AG11" authorId="5">
      <text>
        <r>
          <rPr>
            <b/>
            <sz val="9"/>
            <rFont val="Tahoma"/>
            <family val="2"/>
          </rPr>
          <t>Steve Skladanek:</t>
        </r>
        <r>
          <rPr>
            <sz val="9"/>
            <rFont val="Tahoma"/>
            <family val="2"/>
          </rPr>
          <t xml:space="preserve">
$200,000 total = average $2631 per unit</t>
        </r>
      </text>
    </comment>
  </commentList>
</comments>
</file>

<file path=xl/sharedStrings.xml><?xml version="1.0" encoding="utf-8"?>
<sst xmlns="http://schemas.openxmlformats.org/spreadsheetml/2006/main" count="189" uniqueCount="93">
  <si>
    <t xml:space="preserve"> </t>
  </si>
  <si>
    <t>Interest</t>
  </si>
  <si>
    <t>Normal Life</t>
  </si>
  <si>
    <t xml:space="preserve">     </t>
  </si>
  <si>
    <t xml:space="preserve">  </t>
  </si>
  <si>
    <t>Cost</t>
  </si>
  <si>
    <t>Expectancy</t>
  </si>
  <si>
    <t>Total</t>
  </si>
  <si>
    <t>Expense Total</t>
  </si>
  <si>
    <t>BALANCE</t>
  </si>
  <si>
    <t>Major Maintenance Chart</t>
  </si>
  <si>
    <t>ANNUAL INFLATION RATE:</t>
  </si>
  <si>
    <t>EST. INTEREST RATE:</t>
  </si>
  <si>
    <t>Year of</t>
  </si>
  <si>
    <t>Actual or</t>
  </si>
  <si>
    <t>Estimate</t>
  </si>
  <si>
    <t>GORE TRAIL</t>
  </si>
  <si>
    <t>E</t>
  </si>
  <si>
    <t>Bldgs 1-6</t>
  </si>
  <si>
    <t>Clubhouse</t>
  </si>
  <si>
    <t>Sealant</t>
  </si>
  <si>
    <t>Overlay</t>
  </si>
  <si>
    <t>Perm Transfer</t>
  </si>
  <si>
    <t>A</t>
  </si>
  <si>
    <t>#</t>
  </si>
  <si>
    <t>Special Assessment</t>
  </si>
  <si>
    <t>Carports</t>
  </si>
  <si>
    <t>Resale Contribution</t>
  </si>
  <si>
    <t>Revised</t>
  </si>
  <si>
    <t>Window Replacement</t>
  </si>
  <si>
    <t>Resurfacing &amp; Repair</t>
  </si>
  <si>
    <t>Furnishings</t>
  </si>
  <si>
    <t>Carpet</t>
  </si>
  <si>
    <t>Interior Paint</t>
  </si>
  <si>
    <t>Bldgs All South Sides</t>
  </si>
  <si>
    <t>Bldgs All North Sides</t>
  </si>
  <si>
    <t>Ditches, drainpipes, etc</t>
  </si>
  <si>
    <t>Line of Credit Draw</t>
  </si>
  <si>
    <t>829 - Construction Cleans</t>
  </si>
  <si>
    <t>Storage Shed</t>
  </si>
  <si>
    <t>Window Cleaning</t>
  </si>
  <si>
    <t>7/07-6/08</t>
  </si>
  <si>
    <t>4/06-6/07</t>
  </si>
  <si>
    <t>*NOTE:  Year end changed from March 31 to June 30 in 2007 so 2007 column will include 15 months (04/06 - 06/07)</t>
  </si>
  <si>
    <t>04/5-03/06</t>
  </si>
  <si>
    <t>04/04-03/05</t>
  </si>
  <si>
    <t>04/03-03/04</t>
  </si>
  <si>
    <t>04/02-0303</t>
  </si>
  <si>
    <t>04/01-03/02</t>
  </si>
  <si>
    <t>04/00-03/01</t>
  </si>
  <si>
    <t>Special Reserve Transfer</t>
  </si>
  <si>
    <t>BMMD Tree refund</t>
  </si>
  <si>
    <t>Settlement income</t>
  </si>
  <si>
    <t>Shed Roofs</t>
  </si>
  <si>
    <t>Crack-fill</t>
  </si>
  <si>
    <t>Replace Lower Tub</t>
  </si>
  <si>
    <t>Expansion Tank Replacement</t>
  </si>
  <si>
    <t>60060 - CH Building</t>
  </si>
  <si>
    <t>60070 - Fire Supp. System</t>
  </si>
  <si>
    <t>60090 - Drainage</t>
  </si>
  <si>
    <t>60100 - Hot Tubs</t>
  </si>
  <si>
    <t>60120 Grounds</t>
  </si>
  <si>
    <t>60010 - Siding</t>
  </si>
  <si>
    <t>60020 - Roof</t>
  </si>
  <si>
    <t>60030 - Plumbing &amp; Heating</t>
  </si>
  <si>
    <t>60040 - Windows</t>
  </si>
  <si>
    <t>60050 - Asphalt</t>
  </si>
  <si>
    <t>Hot Tub Cover - Lower</t>
  </si>
  <si>
    <t>Striping</t>
  </si>
  <si>
    <t>Fire Alarm Control Panel</t>
  </si>
  <si>
    <t>Dues Increase</t>
  </si>
  <si>
    <t>Boilers</t>
  </si>
  <si>
    <t>Holding Tanks</t>
  </si>
  <si>
    <t>6.7.21</t>
  </si>
  <si>
    <t>Security &amp; Safety</t>
  </si>
  <si>
    <t>Dues:</t>
  </si>
  <si>
    <t>A-Units</t>
  </si>
  <si>
    <t>B-Units</t>
  </si>
  <si>
    <t xml:space="preserve">   Resales assumed per year:</t>
  </si>
  <si>
    <t>RATIO Reserve/Oper</t>
  </si>
  <si>
    <t>Ficsal Year Ending:</t>
  </si>
  <si>
    <t>Reserve Income:</t>
  </si>
  <si>
    <t>Beginning Balance</t>
  </si>
  <si>
    <t>Dues Contribution</t>
  </si>
  <si>
    <t>Reserve Expenses:</t>
  </si>
  <si>
    <t>Last done</t>
  </si>
  <si>
    <t>Life</t>
  </si>
  <si>
    <t>2020 (1)</t>
  </si>
  <si>
    <t>Notes</t>
  </si>
  <si>
    <t>East, South and West sides of all buildings painted in 2020 for $61,715</t>
  </si>
  <si>
    <t>(Years)</t>
  </si>
  <si>
    <t>Retaining Wall</t>
  </si>
  <si>
    <t>Entrance Sign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</si>
</sst>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&quot;$&quot;#,##0"/>
    <numFmt numFmtId="169" formatCode="&quot;$&quot;#,##0.000_);\(&quot;$&quot;#,##0.000\)"/>
    <numFmt numFmtId="170" formatCode="&quot;$&quot;#,##0.0000_);\(&quot;$&quot;#,##0.0000\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00"/>
    <numFmt numFmtId="177" formatCode="0.0"/>
    <numFmt numFmtId="178" formatCode="[$-409]dddd\,\ mmmm\ d\,\ yyyy"/>
    <numFmt numFmtId="179" formatCode="[$-409]h:mm:ss\ AM/PM"/>
    <numFmt numFmtId="180" formatCode="0.0%"/>
    <numFmt numFmtId="181" formatCode="0.0000"/>
    <numFmt numFmtId="182" formatCode="0.00000"/>
    <numFmt numFmtId="183" formatCode="0.000000"/>
  </numFmts>
  <fonts count="51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sz val="8"/>
      <name val="Helv"/>
      <family val="0"/>
    </font>
    <font>
      <sz val="10"/>
      <name val="Helv"/>
      <family val="0"/>
    </font>
    <font>
      <sz val="12"/>
      <color indexed="9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i/>
      <sz val="12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Helv"/>
      <family val="0"/>
    </font>
    <font>
      <b/>
      <sz val="8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double"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7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7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0">
    <xf numFmtId="7" fontId="0" fillId="0" borderId="0" xfId="0" applyAlignment="1">
      <alignment/>
    </xf>
    <xf numFmtId="7" fontId="0" fillId="0" borderId="0" xfId="0" applyNumberFormat="1" applyAlignment="1" applyProtection="1">
      <alignment horizontal="center"/>
      <protection/>
    </xf>
    <xf numFmtId="7" fontId="0" fillId="0" borderId="0" xfId="0" applyNumberFormat="1" applyAlignment="1" applyProtection="1">
      <alignment horizontal="left"/>
      <protection/>
    </xf>
    <xf numFmtId="7" fontId="3" fillId="0" borderId="0" xfId="0" applyNumberFormat="1" applyFont="1" applyAlignment="1" applyProtection="1">
      <alignment horizontal="left"/>
      <protection/>
    </xf>
    <xf numFmtId="7" fontId="4" fillId="0" borderId="0" xfId="0" applyNumberFormat="1" applyFont="1" applyAlignment="1" applyProtection="1">
      <alignment horizontal="left"/>
      <protection/>
    </xf>
    <xf numFmtId="7" fontId="0" fillId="0" borderId="0" xfId="0" applyNumberFormat="1" applyAlignment="1" applyProtection="1" quotePrefix="1">
      <alignment horizontal="left"/>
      <protection/>
    </xf>
    <xf numFmtId="0" fontId="5" fillId="0" borderId="0" xfId="0" applyNumberFormat="1" applyFont="1" applyAlignment="1">
      <alignment/>
    </xf>
    <xf numFmtId="7" fontId="0" fillId="0" borderId="0" xfId="0" applyBorder="1" applyAlignment="1">
      <alignment/>
    </xf>
    <xf numFmtId="0" fontId="0" fillId="0" borderId="10" xfId="0" applyNumberFormat="1" applyBorder="1" applyAlignment="1" applyProtection="1">
      <alignment horizontal="center"/>
      <protection/>
    </xf>
    <xf numFmtId="7" fontId="0" fillId="0" borderId="11" xfId="0" applyBorder="1" applyAlignment="1">
      <alignment/>
    </xf>
    <xf numFmtId="7" fontId="0" fillId="0" borderId="11" xfId="0" applyNumberFormat="1" applyBorder="1" applyAlignment="1" applyProtection="1">
      <alignment horizontal="center"/>
      <protection/>
    </xf>
    <xf numFmtId="7" fontId="0" fillId="0" borderId="12" xfId="0" applyNumberFormat="1" applyBorder="1" applyAlignment="1" applyProtection="1">
      <alignment horizontal="center"/>
      <protection/>
    </xf>
    <xf numFmtId="7" fontId="0" fillId="0" borderId="0" xfId="0" applyNumberFormat="1" applyBorder="1" applyAlignment="1" applyProtection="1">
      <alignment horizontal="fill"/>
      <protection/>
    </xf>
    <xf numFmtId="5" fontId="0" fillId="0" borderId="11" xfId="0" applyNumberFormat="1" applyBorder="1" applyAlignment="1">
      <alignment/>
    </xf>
    <xf numFmtId="5" fontId="0" fillId="0" borderId="11" xfId="0" applyNumberFormat="1" applyBorder="1" applyAlignment="1" applyProtection="1">
      <alignment horizontal="fill"/>
      <protection/>
    </xf>
    <xf numFmtId="5" fontId="0" fillId="0" borderId="11" xfId="0" applyNumberFormat="1" applyBorder="1" applyAlignment="1" applyProtection="1">
      <alignment horizontal="center"/>
      <protection/>
    </xf>
    <xf numFmtId="5" fontId="0" fillId="0" borderId="12" xfId="0" applyNumberFormat="1" applyBorder="1" applyAlignment="1" applyProtection="1">
      <alignment horizontal="fill"/>
      <protection/>
    </xf>
    <xf numFmtId="7" fontId="0" fillId="0" borderId="11" xfId="0" applyNumberFormat="1" applyBorder="1" applyAlignment="1" applyProtection="1">
      <alignment horizontal="fill"/>
      <protection/>
    </xf>
    <xf numFmtId="7" fontId="0" fillId="0" borderId="12" xfId="0" applyNumberFormat="1" applyBorder="1" applyAlignment="1" applyProtection="1">
      <alignment horizontal="fill"/>
      <protection/>
    </xf>
    <xf numFmtId="7" fontId="0" fillId="0" borderId="11" xfId="0" applyNumberFormat="1" applyBorder="1" applyAlignment="1" applyProtection="1">
      <alignment horizontal="left"/>
      <protection/>
    </xf>
    <xf numFmtId="7" fontId="0" fillId="0" borderId="12" xfId="0" applyNumberFormat="1" applyBorder="1" applyAlignment="1" applyProtection="1">
      <alignment horizontal="left"/>
      <protection/>
    </xf>
    <xf numFmtId="0" fontId="0" fillId="0" borderId="13" xfId="0" applyNumberFormat="1" applyBorder="1" applyAlignment="1" applyProtection="1">
      <alignment horizontal="center"/>
      <protection/>
    </xf>
    <xf numFmtId="7" fontId="0" fillId="0" borderId="14" xfId="0" applyNumberFormat="1" applyBorder="1" applyAlignment="1" applyProtection="1">
      <alignment horizontal="fill"/>
      <protection/>
    </xf>
    <xf numFmtId="7" fontId="0" fillId="0" borderId="15" xfId="0" applyNumberForma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fill"/>
      <protection/>
    </xf>
    <xf numFmtId="0" fontId="0" fillId="0" borderId="0" xfId="0" applyNumberFormat="1" applyBorder="1" applyAlignment="1">
      <alignment/>
    </xf>
    <xf numFmtId="7" fontId="0" fillId="0" borderId="0" xfId="0" applyAlignment="1" quotePrefix="1">
      <alignment horizontal="left"/>
    </xf>
    <xf numFmtId="165" fontId="0" fillId="0" borderId="0" xfId="42" applyNumberFormat="1" applyFont="1" applyAlignment="1">
      <alignment/>
    </xf>
    <xf numFmtId="10" fontId="0" fillId="0" borderId="0" xfId="59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5" fontId="0" fillId="0" borderId="14" xfId="0" applyNumberFormat="1" applyBorder="1" applyAlignment="1" applyProtection="1">
      <alignment/>
      <protection/>
    </xf>
    <xf numFmtId="5" fontId="0" fillId="0" borderId="16" xfId="0" applyNumberFormat="1" applyBorder="1" applyAlignment="1" applyProtection="1">
      <alignment/>
      <protection/>
    </xf>
    <xf numFmtId="5" fontId="0" fillId="0" borderId="11" xfId="0" applyNumberFormat="1" applyBorder="1" applyAlignment="1" applyProtection="1">
      <alignment/>
      <protection/>
    </xf>
    <xf numFmtId="5" fontId="0" fillId="0" borderId="17" xfId="0" applyNumberFormat="1" applyBorder="1" applyAlignment="1" applyProtection="1">
      <alignment/>
      <protection/>
    </xf>
    <xf numFmtId="5" fontId="0" fillId="0" borderId="17" xfId="0" applyNumberFormat="1" applyBorder="1" applyAlignment="1" applyProtection="1">
      <alignment horizontal="center"/>
      <protection/>
    </xf>
    <xf numFmtId="5" fontId="0" fillId="0" borderId="17" xfId="0" applyNumberFormat="1" applyBorder="1" applyAlignment="1">
      <alignment/>
    </xf>
    <xf numFmtId="5" fontId="0" fillId="0" borderId="12" xfId="0" applyNumberFormat="1" applyBorder="1" applyAlignment="1" applyProtection="1">
      <alignment/>
      <protection/>
    </xf>
    <xf numFmtId="5" fontId="0" fillId="0" borderId="18" xfId="0" applyNumberFormat="1" applyBorder="1" applyAlignment="1" applyProtection="1">
      <alignment/>
      <protection/>
    </xf>
    <xf numFmtId="5" fontId="0" fillId="0" borderId="12" xfId="0" applyNumberFormat="1" applyBorder="1" applyAlignment="1" applyProtection="1">
      <alignment/>
      <protection/>
    </xf>
    <xf numFmtId="5" fontId="0" fillId="0" borderId="12" xfId="0" applyNumberFormat="1" applyBorder="1" applyAlignment="1">
      <alignment/>
    </xf>
    <xf numFmtId="5" fontId="0" fillId="0" borderId="18" xfId="0" applyNumberFormat="1" applyBorder="1" applyAlignment="1">
      <alignment/>
    </xf>
    <xf numFmtId="5" fontId="0" fillId="0" borderId="17" xfId="0" applyNumberFormat="1" applyBorder="1" applyAlignment="1" applyProtection="1">
      <alignment horizontal="fill"/>
      <protection/>
    </xf>
    <xf numFmtId="5" fontId="0" fillId="0" borderId="17" xfId="0" applyNumberFormat="1" applyBorder="1" applyAlignment="1" applyProtection="1">
      <alignment/>
      <protection/>
    </xf>
    <xf numFmtId="5" fontId="0" fillId="0" borderId="0" xfId="0" applyNumberFormat="1" applyBorder="1" applyAlignment="1">
      <alignment/>
    </xf>
    <xf numFmtId="5" fontId="0" fillId="0" borderId="18" xfId="0" applyNumberFormat="1" applyBorder="1" applyAlignment="1" applyProtection="1">
      <alignment horizontal="fill"/>
      <protection/>
    </xf>
    <xf numFmtId="5" fontId="0" fillId="0" borderId="16" xfId="0" applyNumberFormat="1" applyBorder="1" applyAlignment="1" applyProtection="1">
      <alignment horizontal="fill"/>
      <protection/>
    </xf>
    <xf numFmtId="5" fontId="0" fillId="0" borderId="19" xfId="0" applyNumberFormat="1" applyBorder="1" applyAlignment="1" applyProtection="1">
      <alignment/>
      <protection/>
    </xf>
    <xf numFmtId="5" fontId="0" fillId="0" borderId="15" xfId="0" applyNumberFormat="1" applyBorder="1" applyAlignment="1" applyProtection="1">
      <alignment/>
      <protection/>
    </xf>
    <xf numFmtId="5" fontId="0" fillId="0" borderId="11" xfId="0" applyNumberFormat="1" applyBorder="1" applyAlignment="1" applyProtection="1">
      <alignment/>
      <protection/>
    </xf>
    <xf numFmtId="7" fontId="0" fillId="0" borderId="11" xfId="0" applyNumberFormat="1" applyBorder="1" applyAlignment="1" applyProtection="1" quotePrefix="1">
      <alignment horizontal="center"/>
      <protection/>
    </xf>
    <xf numFmtId="7" fontId="6" fillId="0" borderId="0" xfId="0" applyFont="1" applyAlignment="1">
      <alignment/>
    </xf>
    <xf numFmtId="7" fontId="0" fillId="0" borderId="0" xfId="0" applyNumberFormat="1" applyBorder="1" applyAlignment="1" applyProtection="1">
      <alignment horizontal="center"/>
      <protection/>
    </xf>
    <xf numFmtId="7" fontId="0" fillId="0" borderId="20" xfId="0" applyNumberFormat="1" applyBorder="1" applyAlignment="1" applyProtection="1">
      <alignment horizontal="center"/>
      <protection/>
    </xf>
    <xf numFmtId="7" fontId="0" fillId="0" borderId="21" xfId="0" applyBorder="1" applyAlignment="1">
      <alignment/>
    </xf>
    <xf numFmtId="7" fontId="0" fillId="0" borderId="22" xfId="0" applyNumberFormat="1" applyBorder="1" applyAlignment="1" applyProtection="1">
      <alignment horizontal="center"/>
      <protection/>
    </xf>
    <xf numFmtId="7" fontId="0" fillId="0" borderId="0" xfId="0" applyNumberFormat="1" applyBorder="1" applyAlignment="1" applyProtection="1" quotePrefix="1">
      <alignment horizontal="center"/>
      <protection/>
    </xf>
    <xf numFmtId="7" fontId="0" fillId="0" borderId="20" xfId="0" applyNumberFormat="1" applyBorder="1" applyAlignment="1" applyProtection="1">
      <alignment horizontal="fill"/>
      <protection/>
    </xf>
    <xf numFmtId="5" fontId="0" fillId="0" borderId="21" xfId="0" applyNumberFormat="1" applyBorder="1" applyAlignment="1" applyProtection="1">
      <alignment horizontal="center"/>
      <protection/>
    </xf>
    <xf numFmtId="5" fontId="0" fillId="0" borderId="21" xfId="0" applyNumberFormat="1" applyBorder="1" applyAlignment="1" applyProtection="1">
      <alignment horizontal="fill"/>
      <protection/>
    </xf>
    <xf numFmtId="5" fontId="0" fillId="0" borderId="22" xfId="0" applyNumberFormat="1" applyBorder="1" applyAlignment="1" applyProtection="1">
      <alignment horizontal="center"/>
      <protection/>
    </xf>
    <xf numFmtId="5" fontId="0" fillId="0" borderId="22" xfId="0" applyNumberFormat="1" applyBorder="1" applyAlignment="1" applyProtection="1">
      <alignment horizontal="fill"/>
      <protection/>
    </xf>
    <xf numFmtId="5" fontId="0" fillId="0" borderId="11" xfId="0" applyNumberFormat="1" applyBorder="1" applyAlignment="1" applyProtection="1" quotePrefix="1">
      <alignment/>
      <protection/>
    </xf>
    <xf numFmtId="5" fontId="0" fillId="0" borderId="0" xfId="0" applyNumberFormat="1" applyAlignment="1">
      <alignment/>
    </xf>
    <xf numFmtId="5" fontId="0" fillId="0" borderId="0" xfId="0" applyNumberFormat="1" applyBorder="1" applyAlignment="1" applyProtection="1">
      <alignment/>
      <protection/>
    </xf>
    <xf numFmtId="5" fontId="0" fillId="0" borderId="20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 horizontal="fill"/>
      <protection/>
    </xf>
    <xf numFmtId="5" fontId="0" fillId="0" borderId="20" xfId="0" applyNumberFormat="1" applyBorder="1" applyAlignment="1" applyProtection="1">
      <alignment horizontal="fill"/>
      <protection/>
    </xf>
    <xf numFmtId="5" fontId="0" fillId="0" borderId="20" xfId="0" applyNumberFormat="1" applyBorder="1" applyAlignment="1">
      <alignment/>
    </xf>
    <xf numFmtId="5" fontId="0" fillId="0" borderId="21" xfId="0" applyNumberFormat="1" applyBorder="1" applyAlignment="1" applyProtection="1">
      <alignment/>
      <protection/>
    </xf>
    <xf numFmtId="7" fontId="0" fillId="0" borderId="0" xfId="0" applyAlignment="1">
      <alignment horizontal="center"/>
    </xf>
    <xf numFmtId="10" fontId="0" fillId="0" borderId="0" xfId="59" applyNumberFormat="1" applyFont="1" applyAlignment="1">
      <alignment horizontal="center"/>
    </xf>
    <xf numFmtId="0" fontId="0" fillId="0" borderId="17" xfId="0" applyNumberFormat="1" applyBorder="1" applyAlignment="1" quotePrefix="1">
      <alignment horizontal="center"/>
    </xf>
    <xf numFmtId="0" fontId="0" fillId="0" borderId="17" xfId="0" applyNumberFormat="1" applyBorder="1" applyAlignment="1" applyProtection="1">
      <alignment horizontal="fill"/>
      <protection/>
    </xf>
    <xf numFmtId="0" fontId="0" fillId="0" borderId="17" xfId="0" applyNumberFormat="1" applyFont="1" applyBorder="1" applyAlignment="1" applyProtection="1">
      <alignment horizontal="center"/>
      <protection/>
    </xf>
    <xf numFmtId="5" fontId="0" fillId="0" borderId="11" xfId="0" applyNumberFormat="1" applyBorder="1" applyAlignment="1">
      <alignment horizontal="right"/>
    </xf>
    <xf numFmtId="5" fontId="0" fillId="0" borderId="12" xfId="0" applyNumberFormat="1" applyBorder="1" applyAlignment="1" applyProtection="1" quotePrefix="1">
      <alignment/>
      <protection/>
    </xf>
    <xf numFmtId="7" fontId="0" fillId="0" borderId="17" xfId="0" applyBorder="1" applyAlignment="1">
      <alignment/>
    </xf>
    <xf numFmtId="5" fontId="0" fillId="0" borderId="0" xfId="0" applyNumberFormat="1" applyBorder="1" applyAlignment="1" applyProtection="1">
      <alignment/>
      <protection/>
    </xf>
    <xf numFmtId="5" fontId="0" fillId="0" borderId="20" xfId="0" applyNumberFormat="1" applyBorder="1" applyAlignment="1" applyProtection="1">
      <alignment/>
      <protection/>
    </xf>
    <xf numFmtId="5" fontId="0" fillId="0" borderId="0" xfId="0" applyNumberFormat="1" applyBorder="1" applyAlignment="1" applyProtection="1" quotePrefix="1">
      <alignment/>
      <protection/>
    </xf>
    <xf numFmtId="5" fontId="0" fillId="0" borderId="20" xfId="0" applyNumberFormat="1" applyBorder="1" applyAlignment="1" applyProtection="1" quotePrefix="1">
      <alignment/>
      <protection/>
    </xf>
    <xf numFmtId="0" fontId="0" fillId="0" borderId="17" xfId="0" applyNumberFormat="1" applyFont="1" applyBorder="1" applyAlignment="1" applyProtection="1">
      <alignment horizontal="fill"/>
      <protection/>
    </xf>
    <xf numFmtId="0" fontId="0" fillId="0" borderId="17" xfId="0" applyNumberFormat="1" applyFont="1" applyBorder="1" applyAlignment="1" quotePrefix="1">
      <alignment horizontal="center"/>
    </xf>
    <xf numFmtId="5" fontId="0" fillId="0" borderId="11" xfId="44" applyNumberFormat="1" applyFont="1" applyBorder="1" applyAlignment="1">
      <alignment/>
    </xf>
    <xf numFmtId="0" fontId="0" fillId="0" borderId="18" xfId="0" applyNumberFormat="1" applyFont="1" applyBorder="1" applyAlignment="1" quotePrefix="1">
      <alignment horizontal="center"/>
    </xf>
    <xf numFmtId="5" fontId="0" fillId="0" borderId="12" xfId="44" applyNumberFormat="1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66" fontId="0" fillId="0" borderId="0" xfId="44" applyNumberFormat="1" applyFont="1" applyBorder="1" applyAlignment="1" applyProtection="1">
      <alignment horizontal="center"/>
      <protection/>
    </xf>
    <xf numFmtId="166" fontId="0" fillId="0" borderId="0" xfId="44" applyNumberFormat="1" applyFont="1" applyBorder="1" applyAlignment="1">
      <alignment horizontal="center"/>
    </xf>
    <xf numFmtId="167" fontId="0" fillId="0" borderId="11" xfId="0" applyNumberFormat="1" applyBorder="1" applyAlignment="1" applyProtection="1">
      <alignment horizontal="left"/>
      <protection/>
    </xf>
    <xf numFmtId="14" fontId="0" fillId="0" borderId="0" xfId="0" applyNumberFormat="1" applyAlignment="1">
      <alignment/>
    </xf>
    <xf numFmtId="0" fontId="0" fillId="0" borderId="16" xfId="0" applyNumberFormat="1" applyFont="1" applyBorder="1" applyAlignment="1" quotePrefix="1">
      <alignment horizontal="center"/>
    </xf>
    <xf numFmtId="5" fontId="0" fillId="0" borderId="14" xfId="0" applyNumberFormat="1" applyBorder="1" applyAlignment="1" applyProtection="1">
      <alignment/>
      <protection/>
    </xf>
    <xf numFmtId="5" fontId="0" fillId="0" borderId="23" xfId="0" applyNumberFormat="1" applyBorder="1" applyAlignment="1" applyProtection="1">
      <alignment/>
      <protection/>
    </xf>
    <xf numFmtId="5" fontId="0" fillId="0" borderId="24" xfId="0" applyNumberFormat="1" applyBorder="1" applyAlignment="1" applyProtection="1">
      <alignment horizontal="center"/>
      <protection/>
    </xf>
    <xf numFmtId="7" fontId="0" fillId="0" borderId="23" xfId="0" applyNumberFormat="1" applyBorder="1" applyAlignment="1" applyProtection="1">
      <alignment horizontal="center"/>
      <protection/>
    </xf>
    <xf numFmtId="5" fontId="0" fillId="0" borderId="14" xfId="0" applyNumberFormat="1" applyBorder="1" applyAlignment="1">
      <alignment/>
    </xf>
    <xf numFmtId="5" fontId="0" fillId="0" borderId="16" xfId="0" applyNumberFormat="1" applyBorder="1" applyAlignment="1">
      <alignment/>
    </xf>
    <xf numFmtId="5" fontId="0" fillId="0" borderId="23" xfId="0" applyNumberFormat="1" applyBorder="1" applyAlignment="1">
      <alignment/>
    </xf>
    <xf numFmtId="5" fontId="0" fillId="0" borderId="14" xfId="44" applyNumberFormat="1" applyFont="1" applyBorder="1" applyAlignment="1">
      <alignment/>
    </xf>
    <xf numFmtId="7" fontId="7" fillId="0" borderId="0" xfId="0" applyNumberFormat="1" applyFont="1" applyBorder="1" applyAlignment="1" applyProtection="1">
      <alignment horizontal="center"/>
      <protection/>
    </xf>
    <xf numFmtId="7" fontId="4" fillId="0" borderId="0" xfId="0" applyFont="1" applyAlignment="1">
      <alignment/>
    </xf>
    <xf numFmtId="7" fontId="4" fillId="0" borderId="11" xfId="0" applyNumberFormat="1" applyFont="1" applyBorder="1" applyAlignment="1" applyProtection="1" quotePrefix="1">
      <alignment horizontal="left"/>
      <protection/>
    </xf>
    <xf numFmtId="7" fontId="4" fillId="0" borderId="11" xfId="0" applyNumberFormat="1" applyFont="1" applyBorder="1" applyAlignment="1" applyProtection="1">
      <alignment horizontal="left"/>
      <protection/>
    </xf>
    <xf numFmtId="7" fontId="4" fillId="0" borderId="14" xfId="0" applyNumberFormat="1" applyFont="1" applyBorder="1" applyAlignment="1" applyProtection="1" quotePrefix="1">
      <alignment horizontal="left"/>
      <protection/>
    </xf>
    <xf numFmtId="167" fontId="4" fillId="0" borderId="14" xfId="0" applyNumberFormat="1" applyFont="1" applyBorder="1" applyAlignment="1" applyProtection="1">
      <alignment horizontal="left"/>
      <protection/>
    </xf>
    <xf numFmtId="7" fontId="4" fillId="0" borderId="14" xfId="0" applyNumberFormat="1" applyFont="1" applyBorder="1" applyAlignment="1" applyProtection="1">
      <alignment horizontal="left"/>
      <protection/>
    </xf>
    <xf numFmtId="0" fontId="5" fillId="0" borderId="0" xfId="0" applyNumberFormat="1" applyFont="1" applyAlignment="1">
      <alignment horizontal="center"/>
    </xf>
    <xf numFmtId="7" fontId="6" fillId="0" borderId="0" xfId="0" applyFont="1" applyAlignment="1">
      <alignment horizontal="center"/>
    </xf>
    <xf numFmtId="5" fontId="0" fillId="33" borderId="19" xfId="0" applyNumberFormat="1" applyFill="1" applyBorder="1" applyAlignment="1" applyProtection="1">
      <alignment/>
      <protection/>
    </xf>
    <xf numFmtId="5" fontId="0" fillId="33" borderId="25" xfId="0" applyNumberFormat="1" applyFill="1" applyBorder="1" applyAlignment="1" applyProtection="1">
      <alignment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27" xfId="0" applyNumberFormat="1" applyFill="1" applyBorder="1" applyAlignment="1" applyProtection="1">
      <alignment horizontal="center"/>
      <protection/>
    </xf>
    <xf numFmtId="5" fontId="0" fillId="0" borderId="11" xfId="0" applyNumberFormat="1" applyFill="1" applyBorder="1" applyAlignment="1" applyProtection="1">
      <alignment horizontal="fill"/>
      <protection/>
    </xf>
    <xf numFmtId="5" fontId="0" fillId="0" borderId="11" xfId="0" applyNumberFormat="1" applyFill="1" applyBorder="1" applyAlignment="1">
      <alignment/>
    </xf>
    <xf numFmtId="5" fontId="0" fillId="0" borderId="11" xfId="0" applyNumberFormat="1" applyFill="1" applyBorder="1" applyAlignment="1" applyProtection="1">
      <alignment horizontal="right"/>
      <protection/>
    </xf>
    <xf numFmtId="5" fontId="0" fillId="0" borderId="18" xfId="0" applyNumberFormat="1" applyFill="1" applyBorder="1" applyAlignment="1">
      <alignment/>
    </xf>
    <xf numFmtId="7" fontId="0" fillId="0" borderId="16" xfId="0" applyFill="1" applyBorder="1" applyAlignment="1">
      <alignment/>
    </xf>
    <xf numFmtId="5" fontId="0" fillId="0" borderId="17" xfId="0" applyNumberFormat="1" applyFill="1" applyBorder="1" applyAlignment="1">
      <alignment/>
    </xf>
    <xf numFmtId="5" fontId="0" fillId="0" borderId="14" xfId="0" applyNumberFormat="1" applyFill="1" applyBorder="1" applyAlignment="1">
      <alignment/>
    </xf>
    <xf numFmtId="5" fontId="0" fillId="0" borderId="12" xfId="0" applyNumberFormat="1" applyFill="1" applyBorder="1" applyAlignment="1">
      <alignment/>
    </xf>
    <xf numFmtId="5" fontId="0" fillId="0" borderId="12" xfId="0" applyNumberFormat="1" applyFill="1" applyBorder="1" applyAlignment="1" applyProtection="1">
      <alignment horizontal="fill"/>
      <protection/>
    </xf>
    <xf numFmtId="165" fontId="0" fillId="0" borderId="0" xfId="42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5" fontId="0" fillId="0" borderId="14" xfId="0" applyNumberFormat="1" applyBorder="1" applyAlignment="1" applyProtection="1">
      <alignment horizontal="fill"/>
      <protection/>
    </xf>
    <xf numFmtId="0" fontId="0" fillId="0" borderId="13" xfId="0" applyNumberFormat="1" applyFill="1" applyBorder="1" applyAlignment="1" applyProtection="1">
      <alignment horizontal="center"/>
      <protection/>
    </xf>
    <xf numFmtId="5" fontId="0" fillId="0" borderId="15" xfId="0" applyNumberFormat="1" applyFill="1" applyBorder="1" applyAlignment="1" applyProtection="1">
      <alignment/>
      <protection/>
    </xf>
    <xf numFmtId="5" fontId="0" fillId="0" borderId="0" xfId="0" applyNumberFormat="1" applyFont="1" applyBorder="1" applyAlignment="1">
      <alignment/>
    </xf>
    <xf numFmtId="7" fontId="0" fillId="0" borderId="21" xfId="0" applyNumberFormat="1" applyBorder="1" applyAlignment="1" applyProtection="1">
      <alignment horizontal="center"/>
      <protection/>
    </xf>
    <xf numFmtId="7" fontId="0" fillId="0" borderId="17" xfId="0" applyNumberFormat="1" applyBorder="1" applyAlignment="1" applyProtection="1">
      <alignment horizontal="left"/>
      <protection/>
    </xf>
    <xf numFmtId="7" fontId="0" fillId="0" borderId="0" xfId="0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center"/>
      <protection/>
    </xf>
    <xf numFmtId="5" fontId="0" fillId="0" borderId="14" xfId="0" applyNumberFormat="1" applyFont="1" applyBorder="1" applyAlignment="1" applyProtection="1">
      <alignment/>
      <protection/>
    </xf>
    <xf numFmtId="5" fontId="0" fillId="0" borderId="11" xfId="0" applyNumberFormat="1" applyFont="1" applyBorder="1" applyAlignment="1" applyProtection="1">
      <alignment/>
      <protection/>
    </xf>
    <xf numFmtId="5" fontId="0" fillId="0" borderId="11" xfId="0" applyNumberFormat="1" applyFont="1" applyBorder="1" applyAlignment="1" applyProtection="1">
      <alignment horizontal="right"/>
      <protection/>
    </xf>
    <xf numFmtId="5" fontId="0" fillId="0" borderId="12" xfId="0" applyNumberFormat="1" applyFont="1" applyBorder="1" applyAlignment="1" applyProtection="1">
      <alignment/>
      <protection/>
    </xf>
    <xf numFmtId="5" fontId="0" fillId="0" borderId="11" xfId="0" applyNumberFormat="1" applyFont="1" applyBorder="1" applyAlignment="1" applyProtection="1">
      <alignment horizontal="fill"/>
      <protection/>
    </xf>
    <xf numFmtId="5" fontId="0" fillId="0" borderId="11" xfId="0" applyNumberFormat="1" applyFont="1" applyBorder="1" applyAlignment="1">
      <alignment/>
    </xf>
    <xf numFmtId="5" fontId="0" fillId="0" borderId="11" xfId="0" applyNumberFormat="1" applyFont="1" applyFill="1" applyBorder="1" applyAlignment="1">
      <alignment/>
    </xf>
    <xf numFmtId="5" fontId="0" fillId="0" borderId="14" xfId="0" applyNumberFormat="1" applyFont="1" applyFill="1" applyBorder="1" applyAlignment="1">
      <alignment/>
    </xf>
    <xf numFmtId="5" fontId="0" fillId="0" borderId="14" xfId="0" applyNumberFormat="1" applyFont="1" applyBorder="1" applyAlignment="1">
      <alignment/>
    </xf>
    <xf numFmtId="5" fontId="0" fillId="0" borderId="12" xfId="0" applyNumberFormat="1" applyFont="1" applyBorder="1" applyAlignment="1">
      <alignment/>
    </xf>
    <xf numFmtId="5" fontId="0" fillId="0" borderId="12" xfId="0" applyNumberFormat="1" applyFont="1" applyBorder="1" applyAlignment="1" applyProtection="1">
      <alignment horizontal="fill"/>
      <protection/>
    </xf>
    <xf numFmtId="5" fontId="0" fillId="0" borderId="14" xfId="0" applyNumberFormat="1" applyFont="1" applyBorder="1" applyAlignment="1" applyProtection="1">
      <alignment horizontal="fill"/>
      <protection/>
    </xf>
    <xf numFmtId="5" fontId="0" fillId="0" borderId="15" xfId="0" applyNumberFormat="1" applyFont="1" applyBorder="1" applyAlignment="1" applyProtection="1">
      <alignment/>
      <protection/>
    </xf>
    <xf numFmtId="5" fontId="0" fillId="0" borderId="24" xfId="0" applyNumberFormat="1" applyBorder="1" applyAlignment="1" applyProtection="1">
      <alignment horizontal="fill"/>
      <protection/>
    </xf>
    <xf numFmtId="5" fontId="0" fillId="0" borderId="11" xfId="0" applyNumberFormat="1" applyFont="1" applyBorder="1" applyAlignment="1" applyProtection="1">
      <alignment horizontal="right" readingOrder="1"/>
      <protection/>
    </xf>
    <xf numFmtId="5" fontId="0" fillId="0" borderId="0" xfId="0" applyNumberFormat="1" applyFill="1" applyBorder="1" applyAlignment="1">
      <alignment/>
    </xf>
    <xf numFmtId="5" fontId="0" fillId="0" borderId="17" xfId="0" applyNumberFormat="1" applyBorder="1" applyAlignment="1" applyProtection="1">
      <alignment horizontal="right"/>
      <protection/>
    </xf>
    <xf numFmtId="0" fontId="0" fillId="0" borderId="16" xfId="0" applyNumberFormat="1" applyFont="1" applyBorder="1" applyAlignment="1">
      <alignment horizontal="center"/>
    </xf>
    <xf numFmtId="7" fontId="0" fillId="0" borderId="23" xfId="0" applyNumberFormat="1" applyBorder="1" applyAlignment="1" applyProtection="1">
      <alignment horizontal="fill"/>
      <protection/>
    </xf>
    <xf numFmtId="5" fontId="0" fillId="0" borderId="23" xfId="0" applyNumberFormat="1" applyBorder="1" applyAlignment="1" applyProtection="1">
      <alignment horizontal="fill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5" fontId="0" fillId="0" borderId="19" xfId="0" applyNumberFormat="1" applyFill="1" applyBorder="1" applyAlignment="1" applyProtection="1">
      <alignment/>
      <protection/>
    </xf>
    <xf numFmtId="5" fontId="0" fillId="0" borderId="11" xfId="0" applyNumberFormat="1" applyBorder="1" applyAlignment="1" applyProtection="1">
      <alignment horizontal="right"/>
      <protection/>
    </xf>
    <xf numFmtId="7" fontId="0" fillId="0" borderId="0" xfId="0" applyFont="1" applyAlignment="1">
      <alignment/>
    </xf>
    <xf numFmtId="7" fontId="0" fillId="0" borderId="11" xfId="0" applyNumberFormat="1" applyFill="1" applyBorder="1" applyAlignment="1" applyProtection="1">
      <alignment horizontal="left"/>
      <protection/>
    </xf>
    <xf numFmtId="0" fontId="5" fillId="0" borderId="20" xfId="0" applyNumberFormat="1" applyFont="1" applyBorder="1" applyAlignment="1">
      <alignment horizontal="center"/>
    </xf>
    <xf numFmtId="0" fontId="0" fillId="0" borderId="13" xfId="0" applyNumberFormat="1" applyFont="1" applyBorder="1" applyAlignment="1" applyProtection="1">
      <alignment horizontal="center"/>
      <protection/>
    </xf>
    <xf numFmtId="5" fontId="0" fillId="0" borderId="11" xfId="0" applyNumberFormat="1" applyFont="1" applyFill="1" applyBorder="1" applyAlignment="1" applyProtection="1">
      <alignment/>
      <protection/>
    </xf>
    <xf numFmtId="5" fontId="0" fillId="0" borderId="11" xfId="0" applyNumberFormat="1" applyFont="1" applyBorder="1" applyAlignment="1" applyProtection="1">
      <alignment horizontal="center"/>
      <protection/>
    </xf>
    <xf numFmtId="5" fontId="0" fillId="0" borderId="28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9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5" fontId="0" fillId="0" borderId="13" xfId="0" applyNumberFormat="1" applyBorder="1" applyAlignment="1" applyProtection="1" quotePrefix="1">
      <alignment/>
      <protection/>
    </xf>
    <xf numFmtId="5" fontId="0" fillId="0" borderId="27" xfId="0" applyNumberFormat="1" applyBorder="1" applyAlignment="1" applyProtection="1" quotePrefix="1">
      <alignment/>
      <protection/>
    </xf>
    <xf numFmtId="5" fontId="0" fillId="0" borderId="26" xfId="0" applyNumberFormat="1" applyBorder="1" applyAlignment="1" applyProtection="1">
      <alignment horizontal="center"/>
      <protection/>
    </xf>
    <xf numFmtId="7" fontId="0" fillId="0" borderId="27" xfId="0" applyNumberFormat="1" applyBorder="1" applyAlignment="1" applyProtection="1">
      <alignment horizontal="center"/>
      <protection/>
    </xf>
    <xf numFmtId="5" fontId="0" fillId="0" borderId="13" xfId="0" applyNumberFormat="1" applyBorder="1" applyAlignment="1">
      <alignment/>
    </xf>
    <xf numFmtId="5" fontId="0" fillId="0" borderId="10" xfId="0" applyNumberFormat="1" applyBorder="1" applyAlignment="1">
      <alignment/>
    </xf>
    <xf numFmtId="5" fontId="0" fillId="0" borderId="27" xfId="0" applyNumberFormat="1" applyBorder="1" applyAlignment="1">
      <alignment/>
    </xf>
    <xf numFmtId="5" fontId="0" fillId="0" borderId="13" xfId="0" applyNumberFormat="1" applyFill="1" applyBorder="1" applyAlignment="1">
      <alignment/>
    </xf>
    <xf numFmtId="5" fontId="0" fillId="0" borderId="13" xfId="0" applyNumberFormat="1" applyFont="1" applyBorder="1" applyAlignment="1">
      <alignment/>
    </xf>
    <xf numFmtId="5" fontId="0" fillId="0" borderId="13" xfId="44" applyNumberFormat="1" applyFont="1" applyBorder="1" applyAlignment="1">
      <alignment/>
    </xf>
    <xf numFmtId="7" fontId="4" fillId="0" borderId="13" xfId="0" applyNumberFormat="1" applyFont="1" applyBorder="1" applyAlignment="1" applyProtection="1">
      <alignment horizontal="left"/>
      <protection/>
    </xf>
    <xf numFmtId="5" fontId="10" fillId="0" borderId="11" xfId="0" applyNumberFormat="1" applyFont="1" applyBorder="1" applyAlignment="1">
      <alignment/>
    </xf>
    <xf numFmtId="7" fontId="0" fillId="0" borderId="11" xfId="0" applyFont="1" applyBorder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7" fontId="0" fillId="0" borderId="0" xfId="0" applyNumberFormat="1" applyBorder="1" applyAlignment="1" applyProtection="1" quotePrefix="1">
      <alignment horizontal="right"/>
      <protection/>
    </xf>
    <xf numFmtId="7" fontId="0" fillId="0" borderId="0" xfId="0" applyNumberFormat="1" applyBorder="1" applyAlignment="1" applyProtection="1">
      <alignment/>
      <protection/>
    </xf>
    <xf numFmtId="5" fontId="4" fillId="0" borderId="17" xfId="0" applyNumberFormat="1" applyFont="1" applyBorder="1" applyAlignment="1">
      <alignment/>
    </xf>
    <xf numFmtId="168" fontId="0" fillId="0" borderId="17" xfId="0" applyNumberFormat="1" applyFont="1" applyBorder="1" applyAlignment="1" applyProtection="1">
      <alignment/>
      <protection/>
    </xf>
    <xf numFmtId="5" fontId="0" fillId="0" borderId="30" xfId="0" applyNumberFormat="1" applyBorder="1" applyAlignment="1" applyProtection="1">
      <alignment/>
      <protection/>
    </xf>
    <xf numFmtId="5" fontId="0" fillId="0" borderId="31" xfId="0" applyNumberFormat="1" applyBorder="1" applyAlignment="1" applyProtection="1">
      <alignment/>
      <protection/>
    </xf>
    <xf numFmtId="5" fontId="0" fillId="0" borderId="31" xfId="0" applyNumberFormat="1" applyBorder="1" applyAlignment="1">
      <alignment/>
    </xf>
    <xf numFmtId="5" fontId="0" fillId="0" borderId="32" xfId="0" applyNumberFormat="1" applyBorder="1" applyAlignment="1" applyProtection="1">
      <alignment/>
      <protection/>
    </xf>
    <xf numFmtId="5" fontId="0" fillId="0" borderId="31" xfId="0" applyNumberFormat="1" applyBorder="1" applyAlignment="1" applyProtection="1">
      <alignment horizontal="fill"/>
      <protection/>
    </xf>
    <xf numFmtId="5" fontId="0" fillId="0" borderId="32" xfId="0" applyNumberFormat="1" applyBorder="1" applyAlignment="1">
      <alignment/>
    </xf>
    <xf numFmtId="5" fontId="0" fillId="0" borderId="31" xfId="0" applyNumberFormat="1" applyBorder="1" applyAlignment="1" applyProtection="1">
      <alignment horizontal="right"/>
      <protection/>
    </xf>
    <xf numFmtId="5" fontId="0" fillId="0" borderId="30" xfId="0" applyNumberFormat="1" applyBorder="1" applyAlignment="1">
      <alignment/>
    </xf>
    <xf numFmtId="5" fontId="0" fillId="0" borderId="32" xfId="0" applyNumberFormat="1" applyBorder="1" applyAlignment="1" applyProtection="1">
      <alignment horizontal="fill"/>
      <protection/>
    </xf>
    <xf numFmtId="5" fontId="0" fillId="0" borderId="30" xfId="0" applyNumberFormat="1" applyBorder="1" applyAlignment="1" applyProtection="1">
      <alignment horizontal="fill"/>
      <protection/>
    </xf>
    <xf numFmtId="5" fontId="0" fillId="0" borderId="33" xfId="0" applyNumberFormat="1" applyBorder="1" applyAlignment="1">
      <alignment/>
    </xf>
    <xf numFmtId="5" fontId="0" fillId="0" borderId="34" xfId="0" applyNumberFormat="1" applyBorder="1" applyAlignment="1" applyProtection="1">
      <alignment/>
      <protection/>
    </xf>
    <xf numFmtId="7" fontId="0" fillId="0" borderId="31" xfId="0" applyBorder="1" applyAlignment="1">
      <alignment/>
    </xf>
    <xf numFmtId="7" fontId="0" fillId="0" borderId="31" xfId="0" applyNumberFormat="1" applyBorder="1" applyAlignment="1" applyProtection="1">
      <alignment horizontal="center"/>
      <protection/>
    </xf>
    <xf numFmtId="0" fontId="0" fillId="0" borderId="33" xfId="0" applyNumberFormat="1" applyFill="1" applyBorder="1" applyAlignment="1" applyProtection="1">
      <alignment horizontal="center"/>
      <protection/>
    </xf>
    <xf numFmtId="0" fontId="0" fillId="34" borderId="13" xfId="0" applyNumberFormat="1" applyFill="1" applyBorder="1" applyAlignment="1" applyProtection="1">
      <alignment horizontal="center"/>
      <protection/>
    </xf>
    <xf numFmtId="5" fontId="0" fillId="34" borderId="15" xfId="0" applyNumberFormat="1" applyFill="1" applyBorder="1" applyAlignment="1" applyProtection="1">
      <alignment/>
      <protection/>
    </xf>
    <xf numFmtId="5" fontId="0" fillId="34" borderId="17" xfId="0" applyNumberFormat="1" applyFill="1" applyBorder="1" applyAlignment="1">
      <alignment/>
    </xf>
    <xf numFmtId="5" fontId="0" fillId="34" borderId="11" xfId="0" applyNumberFormat="1" applyFill="1" applyBorder="1" applyAlignment="1">
      <alignment/>
    </xf>
    <xf numFmtId="7" fontId="0" fillId="34" borderId="0" xfId="0" applyFill="1" applyAlignment="1">
      <alignment/>
    </xf>
    <xf numFmtId="5" fontId="49" fillId="0" borderId="19" xfId="0" applyNumberFormat="1" applyFont="1" applyBorder="1" applyAlignment="1" applyProtection="1">
      <alignment/>
      <protection/>
    </xf>
    <xf numFmtId="5" fontId="0" fillId="0" borderId="21" xfId="0" applyNumberFormat="1" applyBorder="1" applyAlignment="1" applyProtection="1">
      <alignment/>
      <protection/>
    </xf>
    <xf numFmtId="165" fontId="0" fillId="0" borderId="17" xfId="42" applyNumberFormat="1" applyFont="1" applyBorder="1" applyAlignment="1" applyProtection="1">
      <alignment/>
      <protection/>
    </xf>
    <xf numFmtId="0" fontId="5" fillId="0" borderId="11" xfId="0" applyNumberFormat="1" applyFont="1" applyBorder="1" applyAlignment="1">
      <alignment/>
    </xf>
    <xf numFmtId="7" fontId="4" fillId="0" borderId="22" xfId="0" applyFont="1" applyBorder="1" applyAlignment="1">
      <alignment horizontal="right"/>
    </xf>
    <xf numFmtId="0" fontId="0" fillId="33" borderId="23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6" xfId="0" applyNumberFormat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30" xfId="0" applyNumberFormat="1" applyFill="1" applyBorder="1" applyAlignment="1" applyProtection="1">
      <alignment horizontal="center"/>
      <protection/>
    </xf>
    <xf numFmtId="0" fontId="0" fillId="34" borderId="14" xfId="0" applyNumberFormat="1" applyFill="1" applyBorder="1" applyAlignment="1" applyProtection="1">
      <alignment horizontal="center"/>
      <protection/>
    </xf>
    <xf numFmtId="7" fontId="4" fillId="0" borderId="0" xfId="0" applyFont="1" applyBorder="1" applyAlignment="1">
      <alignment horizontal="left"/>
    </xf>
    <xf numFmtId="7" fontId="0" fillId="0" borderId="11" xfId="0" applyNumberFormat="1" applyBorder="1" applyAlignment="1" applyProtection="1">
      <alignment horizontal="left" indent="1"/>
      <protection/>
    </xf>
    <xf numFmtId="7" fontId="0" fillId="0" borderId="11" xfId="0" applyNumberFormat="1" applyBorder="1" applyAlignment="1" applyProtection="1" quotePrefix="1">
      <alignment horizontal="left" indent="1"/>
      <protection/>
    </xf>
    <xf numFmtId="7" fontId="4" fillId="0" borderId="12" xfId="0" applyNumberFormat="1" applyFont="1" applyBorder="1" applyAlignment="1" applyProtection="1">
      <alignment horizontal="left"/>
      <protection/>
    </xf>
    <xf numFmtId="7" fontId="0" fillId="35" borderId="17" xfId="0" applyNumberFormat="1" applyFill="1" applyBorder="1" applyAlignment="1" applyProtection="1">
      <alignment horizontal="left"/>
      <protection/>
    </xf>
    <xf numFmtId="0" fontId="0" fillId="0" borderId="10" xfId="42" applyNumberFormat="1" applyFont="1" applyBorder="1" applyAlignment="1" applyProtection="1">
      <alignment horizontal="center"/>
      <protection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0" fillId="0" borderId="0" xfId="42" applyNumberFormat="1" applyFont="1" applyAlignment="1">
      <alignment horizontal="center"/>
    </xf>
    <xf numFmtId="0" fontId="0" fillId="0" borderId="0" xfId="42" applyNumberFormat="1" applyFont="1" applyAlignment="1">
      <alignment horizontal="center"/>
    </xf>
    <xf numFmtId="0" fontId="5" fillId="0" borderId="0" xfId="42" applyNumberFormat="1" applyFont="1" applyAlignment="1">
      <alignment horizontal="center"/>
    </xf>
    <xf numFmtId="0" fontId="0" fillId="0" borderId="21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>
      <alignment horizontal="center"/>
    </xf>
    <xf numFmtId="0" fontId="0" fillId="0" borderId="18" xfId="42" applyNumberFormat="1" applyFont="1" applyBorder="1" applyAlignment="1" applyProtection="1">
      <alignment horizontal="center"/>
      <protection/>
    </xf>
    <xf numFmtId="0" fontId="0" fillId="0" borderId="0" xfId="42" applyNumberFormat="1" applyFont="1" applyFill="1" applyAlignment="1">
      <alignment horizontal="center"/>
    </xf>
    <xf numFmtId="0" fontId="0" fillId="0" borderId="18" xfId="42" applyNumberFormat="1" applyFont="1" applyBorder="1" applyAlignment="1">
      <alignment horizontal="center"/>
    </xf>
    <xf numFmtId="0" fontId="0" fillId="0" borderId="16" xfId="42" applyNumberFormat="1" applyFont="1" applyBorder="1" applyAlignment="1">
      <alignment horizontal="center"/>
    </xf>
    <xf numFmtId="0" fontId="0" fillId="0" borderId="10" xfId="42" applyNumberFormat="1" applyFont="1" applyBorder="1" applyAlignment="1">
      <alignment horizontal="center"/>
    </xf>
    <xf numFmtId="0" fontId="0" fillId="0" borderId="19" xfId="42" applyNumberFormat="1" applyFont="1" applyBorder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17" xfId="42" applyNumberFormat="1" applyFont="1" applyFill="1" applyBorder="1" applyAlignment="1">
      <alignment horizontal="center"/>
    </xf>
    <xf numFmtId="0" fontId="0" fillId="0" borderId="11" xfId="42" applyNumberFormat="1" applyFont="1" applyFill="1" applyBorder="1" applyAlignment="1">
      <alignment horizontal="center"/>
    </xf>
    <xf numFmtId="0" fontId="0" fillId="0" borderId="16" xfId="0" applyNumberFormat="1" applyFont="1" applyBorder="1" applyAlignment="1" applyProtection="1">
      <alignment horizontal="fill"/>
      <protection/>
    </xf>
    <xf numFmtId="5" fontId="0" fillId="0" borderId="14" xfId="0" applyNumberFormat="1" applyFill="1" applyBorder="1" applyAlignment="1" applyProtection="1">
      <alignment horizontal="fill"/>
      <protection/>
    </xf>
    <xf numFmtId="5" fontId="0" fillId="0" borderId="16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1" fontId="0" fillId="0" borderId="2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 quotePrefix="1">
      <alignment horizontal="center"/>
      <protection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 quotePrefix="1">
      <alignment horizontal="center"/>
      <protection/>
    </xf>
    <xf numFmtId="1" fontId="0" fillId="0" borderId="20" xfId="0" applyNumberFormat="1" applyBorder="1" applyAlignment="1" applyProtection="1" quotePrefix="1">
      <alignment horizontal="center"/>
      <protection/>
    </xf>
    <xf numFmtId="1" fontId="0" fillId="0" borderId="27" xfId="0" applyNumberFormat="1" applyBorder="1" applyAlignment="1" applyProtection="1">
      <alignment horizontal="center"/>
      <protection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83" fontId="0" fillId="0" borderId="0" xfId="0" applyNumberFormat="1" applyAlignment="1">
      <alignment/>
    </xf>
    <xf numFmtId="0" fontId="49" fillId="0" borderId="17" xfId="42" applyNumberFormat="1" applyFont="1" applyBorder="1" applyAlignment="1">
      <alignment horizontal="center"/>
    </xf>
    <xf numFmtId="164" fontId="0" fillId="0" borderId="17" xfId="0" applyNumberFormat="1" applyFont="1" applyBorder="1" applyAlignment="1" applyProtection="1">
      <alignment/>
      <protection/>
    </xf>
    <xf numFmtId="168" fontId="0" fillId="0" borderId="11" xfId="0" applyNumberFormat="1" applyFont="1" applyBorder="1" applyAlignment="1" applyProtection="1">
      <alignment/>
      <protection/>
    </xf>
    <xf numFmtId="7" fontId="4" fillId="0" borderId="23" xfId="0" applyNumberFormat="1" applyFont="1" applyBorder="1" applyAlignment="1" applyProtection="1">
      <alignment horizontal="left"/>
      <protection/>
    </xf>
    <xf numFmtId="5" fontId="0" fillId="0" borderId="23" xfId="0" applyNumberFormat="1" applyFill="1" applyBorder="1" applyAlignment="1">
      <alignment/>
    </xf>
    <xf numFmtId="5" fontId="0" fillId="0" borderId="23" xfId="0" applyNumberFormat="1" applyFont="1" applyBorder="1" applyAlignment="1" applyProtection="1">
      <alignment horizontal="fill"/>
      <protection/>
    </xf>
    <xf numFmtId="7" fontId="0" fillId="0" borderId="24" xfId="0" applyNumberFormat="1" applyBorder="1" applyAlignment="1" applyProtection="1">
      <alignment horizontal="fill"/>
      <protection/>
    </xf>
    <xf numFmtId="7" fontId="0" fillId="0" borderId="17" xfId="0" applyNumberFormat="1" applyBorder="1" applyAlignment="1" applyProtection="1">
      <alignment horizontal="left" indent="2"/>
      <protection/>
    </xf>
    <xf numFmtId="0" fontId="0" fillId="0" borderId="16" xfId="0" applyNumberFormat="1" applyBorder="1" applyAlignment="1" applyProtection="1">
      <alignment horizontal="fill"/>
      <protection/>
    </xf>
    <xf numFmtId="5" fontId="0" fillId="0" borderId="16" xfId="0" applyNumberFormat="1" applyBorder="1" applyAlignment="1" applyProtection="1">
      <alignment/>
      <protection/>
    </xf>
    <xf numFmtId="7" fontId="4" fillId="0" borderId="17" xfId="0" applyNumberFormat="1" applyFont="1" applyBorder="1" applyAlignment="1" applyProtection="1">
      <alignment horizontal="left"/>
      <protection/>
    </xf>
    <xf numFmtId="164" fontId="0" fillId="0" borderId="11" xfId="0" applyNumberFormat="1" applyFont="1" applyBorder="1" applyAlignment="1" applyProtection="1">
      <alignment/>
      <protection/>
    </xf>
    <xf numFmtId="5" fontId="0" fillId="0" borderId="14" xfId="0" applyNumberFormat="1" applyBorder="1" applyAlignment="1" applyProtection="1" quotePrefix="1">
      <alignment/>
      <protection/>
    </xf>
    <xf numFmtId="5" fontId="0" fillId="0" borderId="23" xfId="0" applyNumberFormat="1" applyBorder="1" applyAlignment="1" applyProtection="1" quotePrefix="1">
      <alignment/>
      <protection/>
    </xf>
    <xf numFmtId="5" fontId="0" fillId="34" borderId="11" xfId="0" applyNumberFormat="1" applyFill="1" applyBorder="1" applyAlignment="1" applyProtection="1">
      <alignment/>
      <protection/>
    </xf>
    <xf numFmtId="0" fontId="0" fillId="34" borderId="17" xfId="42" applyNumberFormat="1" applyFont="1" applyFill="1" applyBorder="1" applyAlignment="1" applyProtection="1">
      <alignment horizontal="center"/>
      <protection/>
    </xf>
    <xf numFmtId="5" fontId="0" fillId="34" borderId="17" xfId="0" applyNumberFormat="1" applyFill="1" applyBorder="1" applyAlignment="1" applyProtection="1">
      <alignment horizontal="fill"/>
      <protection/>
    </xf>
    <xf numFmtId="1" fontId="0" fillId="0" borderId="11" xfId="0" applyNumberFormat="1" applyBorder="1" applyAlignment="1" applyProtection="1">
      <alignment horizontal="center"/>
      <protection/>
    </xf>
    <xf numFmtId="0" fontId="0" fillId="34" borderId="17" xfId="0" applyNumberFormat="1" applyFont="1" applyFill="1" applyBorder="1" applyAlignment="1">
      <alignment horizontal="center"/>
    </xf>
    <xf numFmtId="0" fontId="0" fillId="0" borderId="18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195"/>
  <sheetViews>
    <sheetView tabSelected="1" zoomScaleSheetLayoutView="80" zoomScalePageLayoutView="0" workbookViewId="0" topLeftCell="A1">
      <pane ySplit="7" topLeftCell="A25" activePane="bottomLeft" state="frozen"/>
      <selection pane="topLeft" activeCell="A1" sqref="A1"/>
      <selection pane="bottomLeft" activeCell="G28" sqref="G28"/>
    </sheetView>
  </sheetViews>
  <sheetFormatPr defaultColWidth="15.77734375" defaultRowHeight="15.75"/>
  <cols>
    <col min="1" max="1" width="7.10546875" style="0" customWidth="1"/>
    <col min="2" max="2" width="10.10546875" style="0" customWidth="1"/>
    <col min="3" max="4" width="1.77734375" style="0" customWidth="1"/>
    <col min="5" max="5" width="9.10546875" style="248" customWidth="1"/>
    <col min="6" max="6" width="2.6640625" style="0" customWidth="1"/>
    <col min="7" max="7" width="27.77734375" style="0" customWidth="1"/>
    <col min="8" max="8" width="9.77734375" style="0" hidden="1" customWidth="1"/>
    <col min="9" max="9" width="8.77734375" style="0" hidden="1" customWidth="1"/>
    <col min="10" max="10" width="9.99609375" style="0" hidden="1" customWidth="1"/>
    <col min="11" max="11" width="9.77734375" style="0" hidden="1" customWidth="1"/>
    <col min="12" max="12" width="10.77734375" style="0" hidden="1" customWidth="1"/>
    <col min="13" max="13" width="9.99609375" style="0" hidden="1" customWidth="1"/>
    <col min="14" max="14" width="10.3359375" style="0" hidden="1" customWidth="1"/>
    <col min="15" max="15" width="9.77734375" style="7" hidden="1" customWidth="1"/>
    <col min="16" max="16" width="10.3359375" style="0" hidden="1" customWidth="1"/>
    <col min="17" max="17" width="10.10546875" style="132" hidden="1" customWidth="1"/>
    <col min="18" max="18" width="10.3359375" style="158" hidden="1" customWidth="1"/>
    <col min="19" max="19" width="10.3359375" style="0" hidden="1" customWidth="1"/>
    <col min="20" max="21" width="9.5546875" style="158" hidden="1" customWidth="1"/>
    <col min="22" max="24" width="10.3359375" style="0" hidden="1" customWidth="1"/>
    <col min="25" max="25" width="10.4453125" style="0" hidden="1" customWidth="1"/>
    <col min="26" max="26" width="8.77734375" style="0" hidden="1" customWidth="1"/>
    <col min="27" max="27" width="9.77734375" style="0" hidden="1" customWidth="1"/>
    <col min="28" max="28" width="8.77734375" style="0" hidden="1" customWidth="1"/>
    <col min="29" max="29" width="8.77734375" style="231" customWidth="1"/>
    <col min="30" max="50" width="9.5546875" style="0" customWidth="1"/>
    <col min="51" max="63" width="10.77734375" style="0" customWidth="1"/>
  </cols>
  <sheetData>
    <row r="1" spans="1:50" ht="15.75">
      <c r="A1" s="26"/>
      <c r="I1" s="27"/>
      <c r="J1" s="27"/>
      <c r="K1" s="27"/>
      <c r="L1" s="27"/>
      <c r="M1" s="27"/>
      <c r="N1" s="27"/>
      <c r="O1" s="124"/>
      <c r="P1" s="27"/>
      <c r="Q1" s="124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32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</row>
    <row r="2" spans="1:22" ht="18">
      <c r="A2" s="3" t="s">
        <v>16</v>
      </c>
      <c r="G2" s="182"/>
      <c r="H2" s="7"/>
      <c r="I2" s="7"/>
      <c r="J2" s="7"/>
      <c r="K2" s="7"/>
      <c r="L2" s="7"/>
      <c r="M2" s="7"/>
      <c r="N2" s="7"/>
      <c r="P2" s="7"/>
      <c r="R2" s="132"/>
      <c r="S2" s="7"/>
      <c r="T2" s="132"/>
      <c r="U2" s="132"/>
      <c r="V2" s="7"/>
    </row>
    <row r="3" spans="1:22" ht="15.75">
      <c r="A3" s="4" t="s">
        <v>10</v>
      </c>
      <c r="G3" s="7"/>
      <c r="H3" s="7"/>
      <c r="I3" s="7"/>
      <c r="J3" s="7"/>
      <c r="K3" s="7"/>
      <c r="L3" s="7"/>
      <c r="M3" s="7"/>
      <c r="N3" s="7"/>
      <c r="P3" s="7"/>
      <c r="R3" s="132"/>
      <c r="S3" s="7"/>
      <c r="T3" s="132"/>
      <c r="U3" s="132"/>
      <c r="V3" s="7"/>
    </row>
    <row r="4" spans="7:22" ht="15.75">
      <c r="G4" s="183"/>
      <c r="H4" s="184"/>
      <c r="I4" s="7"/>
      <c r="J4" s="7"/>
      <c r="K4" s="7"/>
      <c r="L4" s="7"/>
      <c r="M4" s="7"/>
      <c r="N4" s="7"/>
      <c r="P4" s="7"/>
      <c r="R4" s="132"/>
      <c r="S4" s="7"/>
      <c r="T4" s="132"/>
      <c r="U4" s="132"/>
      <c r="V4" s="7"/>
    </row>
    <row r="5" spans="1:50" ht="15.75">
      <c r="A5" t="s">
        <v>28</v>
      </c>
      <c r="B5" s="91" t="s">
        <v>73</v>
      </c>
      <c r="G5" s="101"/>
      <c r="H5" s="109" t="s">
        <v>49</v>
      </c>
      <c r="I5" s="29" t="s">
        <v>48</v>
      </c>
      <c r="J5" s="108" t="s">
        <v>47</v>
      </c>
      <c r="K5" s="108" t="s">
        <v>46</v>
      </c>
      <c r="L5" s="108" t="s">
        <v>45</v>
      </c>
      <c r="M5" s="108" t="s">
        <v>44</v>
      </c>
      <c r="N5" s="108" t="s">
        <v>42</v>
      </c>
      <c r="O5" s="125" t="s">
        <v>41</v>
      </c>
      <c r="P5" s="154"/>
      <c r="Q5" s="155"/>
      <c r="R5" s="160"/>
      <c r="S5" s="165"/>
      <c r="T5" s="166"/>
      <c r="U5" s="167"/>
      <c r="V5" s="6"/>
      <c r="W5" s="6"/>
      <c r="X5" s="6"/>
      <c r="Y5" s="6"/>
      <c r="Z5" s="6"/>
      <c r="AA5" s="6"/>
      <c r="AB5" s="6"/>
      <c r="AC5" s="233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5.75">
      <c r="B6" s="91"/>
      <c r="G6" s="101"/>
      <c r="H6" s="109"/>
      <c r="I6" s="29"/>
      <c r="J6" s="108"/>
      <c r="K6" s="108"/>
      <c r="L6" s="108"/>
      <c r="M6" s="108"/>
      <c r="N6" s="108"/>
      <c r="O6" s="125"/>
      <c r="P6" s="154"/>
      <c r="Q6" s="155"/>
      <c r="R6" s="160"/>
      <c r="S6" s="165"/>
      <c r="T6" s="166"/>
      <c r="U6" s="210"/>
      <c r="V6" s="6"/>
      <c r="W6" s="6"/>
      <c r="X6" s="6"/>
      <c r="Y6" s="6"/>
      <c r="Z6" s="6"/>
      <c r="AA6" s="6"/>
      <c r="AB6" s="6"/>
      <c r="AC6" s="233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5.75">
      <c r="A7" s="7"/>
      <c r="B7" s="7"/>
      <c r="C7" s="7"/>
      <c r="D7" s="7"/>
      <c r="E7" s="249"/>
      <c r="F7" s="7"/>
      <c r="G7" s="211" t="s">
        <v>80</v>
      </c>
      <c r="H7" s="112">
        <v>2001</v>
      </c>
      <c r="I7" s="113">
        <f aca="true" t="shared" si="0" ref="I7:AB7">1+H7</f>
        <v>2002</v>
      </c>
      <c r="J7" s="113">
        <f t="shared" si="0"/>
        <v>2003</v>
      </c>
      <c r="K7" s="114">
        <f t="shared" si="0"/>
        <v>2004</v>
      </c>
      <c r="L7" s="113">
        <f t="shared" si="0"/>
        <v>2005</v>
      </c>
      <c r="M7" s="113">
        <f t="shared" si="0"/>
        <v>2006</v>
      </c>
      <c r="N7" s="113">
        <f t="shared" si="0"/>
        <v>2007</v>
      </c>
      <c r="O7" s="127">
        <f>1+N7</f>
        <v>2008</v>
      </c>
      <c r="P7" s="8">
        <f t="shared" si="0"/>
        <v>2009</v>
      </c>
      <c r="Q7" s="133">
        <f t="shared" si="0"/>
        <v>2010</v>
      </c>
      <c r="R7" s="161">
        <f t="shared" si="0"/>
        <v>2011</v>
      </c>
      <c r="S7" s="21">
        <f t="shared" si="0"/>
        <v>2012</v>
      </c>
      <c r="T7" s="161">
        <f t="shared" si="0"/>
        <v>2013</v>
      </c>
      <c r="U7" s="161">
        <f t="shared" si="0"/>
        <v>2014</v>
      </c>
      <c r="V7" s="8">
        <f t="shared" si="0"/>
        <v>2015</v>
      </c>
      <c r="W7" s="21">
        <f t="shared" si="0"/>
        <v>2016</v>
      </c>
      <c r="X7" s="201">
        <f t="shared" si="0"/>
        <v>2017</v>
      </c>
      <c r="Y7" s="127">
        <f t="shared" si="0"/>
        <v>2018</v>
      </c>
      <c r="Z7" s="202">
        <f t="shared" si="0"/>
        <v>2019</v>
      </c>
      <c r="AA7" s="21">
        <f t="shared" si="0"/>
        <v>2020</v>
      </c>
      <c r="AB7" s="8">
        <f t="shared" si="0"/>
        <v>2021</v>
      </c>
      <c r="AC7" s="228"/>
      <c r="AD7" s="8">
        <f>1+AB7</f>
        <v>2022</v>
      </c>
      <c r="AE7" s="8">
        <f aca="true" t="shared" si="1" ref="AE7:AX7">1+AD7</f>
        <v>2023</v>
      </c>
      <c r="AF7" s="8">
        <f t="shared" si="1"/>
        <v>2024</v>
      </c>
      <c r="AG7" s="8">
        <f t="shared" si="1"/>
        <v>2025</v>
      </c>
      <c r="AH7" s="8">
        <f t="shared" si="1"/>
        <v>2026</v>
      </c>
      <c r="AI7" s="8">
        <f t="shared" si="1"/>
        <v>2027</v>
      </c>
      <c r="AJ7" s="8">
        <f t="shared" si="1"/>
        <v>2028</v>
      </c>
      <c r="AK7" s="8">
        <f t="shared" si="1"/>
        <v>2029</v>
      </c>
      <c r="AL7" s="8">
        <f t="shared" si="1"/>
        <v>2030</v>
      </c>
      <c r="AM7" s="8">
        <f t="shared" si="1"/>
        <v>2031</v>
      </c>
      <c r="AN7" s="8">
        <f t="shared" si="1"/>
        <v>2032</v>
      </c>
      <c r="AO7" s="8">
        <f t="shared" si="1"/>
        <v>2033</v>
      </c>
      <c r="AP7" s="8">
        <f t="shared" si="1"/>
        <v>2034</v>
      </c>
      <c r="AQ7" s="8">
        <f t="shared" si="1"/>
        <v>2035</v>
      </c>
      <c r="AR7" s="8">
        <f t="shared" si="1"/>
        <v>2036</v>
      </c>
      <c r="AS7" s="8">
        <f t="shared" si="1"/>
        <v>2037</v>
      </c>
      <c r="AT7" s="8">
        <f t="shared" si="1"/>
        <v>2038</v>
      </c>
      <c r="AU7" s="8">
        <f t="shared" si="1"/>
        <v>2039</v>
      </c>
      <c r="AV7" s="8">
        <f t="shared" si="1"/>
        <v>2040</v>
      </c>
      <c r="AW7" s="8">
        <f t="shared" si="1"/>
        <v>2041</v>
      </c>
      <c r="AX7" s="8">
        <f t="shared" si="1"/>
        <v>2042</v>
      </c>
    </row>
    <row r="8" spans="1:50" ht="15.75">
      <c r="A8" s="7"/>
      <c r="B8" s="7"/>
      <c r="C8" s="7"/>
      <c r="D8" s="7"/>
      <c r="E8" s="249"/>
      <c r="F8" s="53"/>
      <c r="G8" s="223" t="s">
        <v>81</v>
      </c>
      <c r="H8" s="212"/>
      <c r="I8" s="213"/>
      <c r="J8" s="214"/>
      <c r="K8" s="215"/>
      <c r="L8" s="213"/>
      <c r="M8" s="213"/>
      <c r="N8" s="213"/>
      <c r="O8" s="216"/>
      <c r="P8" s="217"/>
      <c r="Q8" s="218"/>
      <c r="R8" s="219"/>
      <c r="S8" s="220"/>
      <c r="T8" s="219"/>
      <c r="U8" s="219"/>
      <c r="V8" s="217"/>
      <c r="W8" s="220"/>
      <c r="X8" s="221"/>
      <c r="Y8" s="216"/>
      <c r="Z8" s="222"/>
      <c r="AA8" s="220"/>
      <c r="AB8" s="217"/>
      <c r="AC8" s="229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</row>
    <row r="9" spans="1:50" ht="15.75">
      <c r="A9" s="7"/>
      <c r="B9" s="7"/>
      <c r="C9" s="7"/>
      <c r="D9" s="7"/>
      <c r="E9" s="249"/>
      <c r="F9" s="7"/>
      <c r="G9" s="224" t="s">
        <v>82</v>
      </c>
      <c r="H9" s="30">
        <v>0</v>
      </c>
      <c r="I9" s="30">
        <f aca="true" t="shared" si="2" ref="I9:S9">H82</f>
        <v>54232.79</v>
      </c>
      <c r="J9" s="31">
        <f t="shared" si="2"/>
        <v>94499.85</v>
      </c>
      <c r="K9" s="63">
        <f t="shared" si="2"/>
        <v>44772.8</v>
      </c>
      <c r="L9" s="30">
        <f t="shared" si="2"/>
        <v>54756.8</v>
      </c>
      <c r="M9" s="30">
        <f t="shared" si="2"/>
        <v>69051.8</v>
      </c>
      <c r="N9" s="30">
        <f t="shared" si="2"/>
        <v>107154.08</v>
      </c>
      <c r="O9" s="30">
        <f t="shared" si="2"/>
        <v>200964.2199999999</v>
      </c>
      <c r="P9" s="31">
        <f t="shared" si="2"/>
        <v>276850.2699999999</v>
      </c>
      <c r="Q9" s="134">
        <f t="shared" si="2"/>
        <v>276733</v>
      </c>
      <c r="R9" s="134">
        <f t="shared" si="2"/>
        <v>203793.41000000003</v>
      </c>
      <c r="S9" s="30">
        <f t="shared" si="2"/>
        <v>234604.62000000002</v>
      </c>
      <c r="T9" s="134">
        <v>173799.68</v>
      </c>
      <c r="U9" s="134">
        <v>215353.85</v>
      </c>
      <c r="V9" s="31">
        <v>248972.95</v>
      </c>
      <c r="W9" s="30">
        <v>237595.3</v>
      </c>
      <c r="X9" s="187">
        <v>238483.61</v>
      </c>
      <c r="Y9" s="30">
        <f>X82</f>
        <v>99125</v>
      </c>
      <c r="Z9" s="30">
        <v>112484.41</v>
      </c>
      <c r="AA9" s="30">
        <f>Z82</f>
        <v>161700.402205</v>
      </c>
      <c r="AB9" s="31">
        <v>17696.65</v>
      </c>
      <c r="AC9" s="229"/>
      <c r="AD9" s="31">
        <v>97000</v>
      </c>
      <c r="AE9" s="31">
        <f>AD82</f>
        <v>130404.46000000002</v>
      </c>
      <c r="AF9" s="31">
        <f aca="true" t="shared" si="3" ref="AF9:AX9">AE82</f>
        <v>117711.11319105022</v>
      </c>
      <c r="AG9" s="31">
        <f t="shared" si="3"/>
        <v>123207.10918812583</v>
      </c>
      <c r="AH9" s="31">
        <f t="shared" si="3"/>
        <v>137136.29708895623</v>
      </c>
      <c r="AI9" s="31">
        <f t="shared" si="3"/>
        <v>135443.05830345536</v>
      </c>
      <c r="AJ9" s="31">
        <f t="shared" si="3"/>
        <v>18431.176006272726</v>
      </c>
      <c r="AK9" s="31">
        <f t="shared" si="3"/>
        <v>43853.84990526061</v>
      </c>
      <c r="AL9" s="31">
        <f t="shared" si="3"/>
        <v>130609.65600676625</v>
      </c>
      <c r="AM9" s="31">
        <f t="shared" si="3"/>
        <v>137036.53565424698</v>
      </c>
      <c r="AN9" s="31">
        <f t="shared" si="3"/>
        <v>203219.03326751085</v>
      </c>
      <c r="AO9" s="31">
        <f t="shared" si="3"/>
        <v>273312.6303991202</v>
      </c>
      <c r="AP9" s="31">
        <f t="shared" si="3"/>
        <v>218595.3432997717</v>
      </c>
      <c r="AQ9" s="31">
        <f t="shared" si="3"/>
        <v>314764.315154715</v>
      </c>
      <c r="AR9" s="31">
        <f t="shared" si="3"/>
        <v>117290.25911599025</v>
      </c>
      <c r="AS9" s="31">
        <f t="shared" si="3"/>
        <v>218375.6672282485</v>
      </c>
      <c r="AT9" s="31">
        <f t="shared" si="3"/>
        <v>324223.8640588567</v>
      </c>
      <c r="AU9" s="31">
        <f t="shared" si="3"/>
        <v>406077.39389342035</v>
      </c>
      <c r="AV9" s="31">
        <f t="shared" si="3"/>
        <v>339553.65715951566</v>
      </c>
      <c r="AW9" s="31">
        <f t="shared" si="3"/>
        <v>362264.47872298403</v>
      </c>
      <c r="AX9" s="31">
        <f t="shared" si="3"/>
        <v>393881.1938063985</v>
      </c>
    </row>
    <row r="10" spans="1:50" ht="15.75">
      <c r="A10" s="7"/>
      <c r="B10" s="7"/>
      <c r="C10" s="7"/>
      <c r="D10" s="7"/>
      <c r="E10" s="249"/>
      <c r="F10" s="7"/>
      <c r="G10" s="224" t="s">
        <v>1</v>
      </c>
      <c r="H10" s="32">
        <v>552.79</v>
      </c>
      <c r="I10" s="32">
        <v>1587.06</v>
      </c>
      <c r="J10" s="33">
        <v>630.95</v>
      </c>
      <c r="K10" s="63">
        <v>135</v>
      </c>
      <c r="L10" s="32">
        <v>576</v>
      </c>
      <c r="M10" s="32">
        <v>2067</v>
      </c>
      <c r="N10" s="32">
        <v>4937.08</v>
      </c>
      <c r="O10" s="32">
        <v>1650.77</v>
      </c>
      <c r="P10" s="33">
        <v>2158.22</v>
      </c>
      <c r="Q10" s="135">
        <v>1406.15</v>
      </c>
      <c r="R10" s="162">
        <v>173.21</v>
      </c>
      <c r="S10" s="32">
        <f>(335/9)*12</f>
        <v>446.66666666666663</v>
      </c>
      <c r="T10" s="135">
        <v>554.17</v>
      </c>
      <c r="U10" s="135">
        <v>567.34</v>
      </c>
      <c r="V10" s="33">
        <f>IF(V9&gt;0,V9*$E$86,0)</f>
        <v>124.48647500000001</v>
      </c>
      <c r="W10" s="32">
        <v>495.68</v>
      </c>
      <c r="X10" s="188">
        <f>IF(X9&gt;0,X9*$E$86,0)</f>
        <v>119.241805</v>
      </c>
      <c r="Y10" s="32">
        <f>IF(Y9&gt;0,Y9*$E$86,0)</f>
        <v>49.5625</v>
      </c>
      <c r="Z10" s="32">
        <f>IF(Z9&gt;0,Z9*$E$86,0)</f>
        <v>56.242205000000006</v>
      </c>
      <c r="AA10" s="32">
        <f>IF(AA9&gt;0,AA9*$E$86,0)</f>
        <v>80.8502011025</v>
      </c>
      <c r="AB10" s="33">
        <f>IF(AB9&gt;0,AB9*$E$86,0)</f>
        <v>8.848325</v>
      </c>
      <c r="AC10" s="230"/>
      <c r="AD10" s="33">
        <f aca="true" t="shared" si="4" ref="AD10:AX10">IF($E$86*AD9&gt;0,$E$86*AD9,0)</f>
        <v>48.5</v>
      </c>
      <c r="AE10" s="33">
        <f t="shared" si="4"/>
        <v>65.20223000000001</v>
      </c>
      <c r="AF10" s="33">
        <f t="shared" si="4"/>
        <v>58.85555659552511</v>
      </c>
      <c r="AG10" s="33">
        <f t="shared" si="4"/>
        <v>61.60355459406292</v>
      </c>
      <c r="AH10" s="33">
        <f t="shared" si="4"/>
        <v>68.56814854447812</v>
      </c>
      <c r="AI10" s="33">
        <f t="shared" si="4"/>
        <v>67.72152915172768</v>
      </c>
      <c r="AJ10" s="33">
        <f t="shared" si="4"/>
        <v>9.215588003136363</v>
      </c>
      <c r="AK10" s="33">
        <f t="shared" si="4"/>
        <v>21.92692495263031</v>
      </c>
      <c r="AL10" s="33">
        <f t="shared" si="4"/>
        <v>65.30482800338312</v>
      </c>
      <c r="AM10" s="33">
        <f t="shared" si="4"/>
        <v>68.5182678271235</v>
      </c>
      <c r="AN10" s="33">
        <f t="shared" si="4"/>
        <v>101.60951663375543</v>
      </c>
      <c r="AO10" s="33">
        <f t="shared" si="4"/>
        <v>136.6563151995601</v>
      </c>
      <c r="AP10" s="33">
        <f t="shared" si="4"/>
        <v>109.29767164988584</v>
      </c>
      <c r="AQ10" s="33">
        <f t="shared" si="4"/>
        <v>157.3821575773575</v>
      </c>
      <c r="AR10" s="33">
        <f t="shared" si="4"/>
        <v>58.645129557995126</v>
      </c>
      <c r="AS10" s="33">
        <f t="shared" si="4"/>
        <v>109.18783361412424</v>
      </c>
      <c r="AT10" s="33">
        <f t="shared" si="4"/>
        <v>162.11193202942835</v>
      </c>
      <c r="AU10" s="33">
        <f t="shared" si="4"/>
        <v>203.0386969467102</v>
      </c>
      <c r="AV10" s="33">
        <f t="shared" si="4"/>
        <v>169.77682857975782</v>
      </c>
      <c r="AW10" s="33">
        <f t="shared" si="4"/>
        <v>181.13223936149203</v>
      </c>
      <c r="AX10" s="33">
        <f t="shared" si="4"/>
        <v>196.94059690319924</v>
      </c>
    </row>
    <row r="11" spans="1:50" ht="15.75">
      <c r="A11" s="7"/>
      <c r="B11" s="7"/>
      <c r="C11" s="7"/>
      <c r="D11" s="7"/>
      <c r="E11" s="249"/>
      <c r="F11" s="7"/>
      <c r="G11" s="224" t="s">
        <v>25</v>
      </c>
      <c r="H11" s="32"/>
      <c r="I11" s="32"/>
      <c r="J11" s="33"/>
      <c r="K11" s="63"/>
      <c r="L11" s="32"/>
      <c r="M11" s="32"/>
      <c r="N11" s="32">
        <v>113211.12</v>
      </c>
      <c r="O11" s="32">
        <v>116288.36</v>
      </c>
      <c r="P11" s="32">
        <v>108424.64</v>
      </c>
      <c r="Q11" s="135">
        <v>8981</v>
      </c>
      <c r="R11" s="135"/>
      <c r="S11" s="32"/>
      <c r="T11" s="135"/>
      <c r="U11" s="135"/>
      <c r="V11" s="33"/>
      <c r="W11" s="32"/>
      <c r="X11" s="188"/>
      <c r="Y11" s="32"/>
      <c r="Z11" s="32"/>
      <c r="AA11" s="32">
        <v>76000</v>
      </c>
      <c r="AB11" s="33"/>
      <c r="AC11" s="230"/>
      <c r="AD11" s="33"/>
      <c r="AE11" s="33">
        <v>100000</v>
      </c>
      <c r="AF11" s="33"/>
      <c r="AG11" s="33">
        <v>200000</v>
      </c>
      <c r="AH11" s="33">
        <v>200000</v>
      </c>
      <c r="AI11" s="33">
        <v>200000</v>
      </c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</row>
    <row r="12" spans="1:50" ht="15" hidden="1">
      <c r="A12" s="7"/>
      <c r="B12" s="7"/>
      <c r="C12" s="7"/>
      <c r="D12" s="7"/>
      <c r="E12" s="249"/>
      <c r="F12" s="7"/>
      <c r="G12" s="224" t="s">
        <v>37</v>
      </c>
      <c r="H12" s="32"/>
      <c r="I12" s="32"/>
      <c r="J12" s="33"/>
      <c r="K12" s="63"/>
      <c r="L12" s="32"/>
      <c r="M12" s="32"/>
      <c r="N12" s="32">
        <v>243652.59</v>
      </c>
      <c r="O12" s="32"/>
      <c r="P12" s="32"/>
      <c r="Q12" s="135"/>
      <c r="R12" s="135"/>
      <c r="S12" s="32"/>
      <c r="T12" s="135"/>
      <c r="U12" s="135"/>
      <c r="V12" s="33"/>
      <c r="W12" s="32"/>
      <c r="X12" s="188"/>
      <c r="Y12" s="32"/>
      <c r="Z12" s="32"/>
      <c r="AA12" s="32"/>
      <c r="AB12" s="33"/>
      <c r="AC12" s="230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</row>
    <row r="13" spans="1:50" ht="15" hidden="1">
      <c r="A13" s="7"/>
      <c r="B13" s="7"/>
      <c r="C13" s="7"/>
      <c r="D13" s="7"/>
      <c r="E13" s="249"/>
      <c r="F13" s="7"/>
      <c r="G13" s="224" t="s">
        <v>50</v>
      </c>
      <c r="H13" s="32"/>
      <c r="I13" s="32"/>
      <c r="J13" s="33"/>
      <c r="K13" s="63"/>
      <c r="L13" s="32"/>
      <c r="M13" s="32">
        <v>834</v>
      </c>
      <c r="N13" s="32">
        <v>42539</v>
      </c>
      <c r="O13" s="32">
        <v>775</v>
      </c>
      <c r="P13" s="32"/>
      <c r="Q13" s="135"/>
      <c r="R13" s="135"/>
      <c r="S13" s="32">
        <v>90000</v>
      </c>
      <c r="T13" s="135"/>
      <c r="U13" s="135"/>
      <c r="V13" s="33"/>
      <c r="W13" s="32"/>
      <c r="X13" s="188"/>
      <c r="Y13" s="32"/>
      <c r="Z13" s="32"/>
      <c r="AA13" s="32"/>
      <c r="AB13" s="33"/>
      <c r="AC13" s="230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</row>
    <row r="14" spans="1:50" ht="15.75">
      <c r="A14" s="7"/>
      <c r="B14" s="7"/>
      <c r="C14" s="7"/>
      <c r="D14" s="7"/>
      <c r="E14" s="249"/>
      <c r="F14" s="7"/>
      <c r="G14" s="224" t="s">
        <v>27</v>
      </c>
      <c r="H14" s="32"/>
      <c r="I14" s="32" t="s">
        <v>0</v>
      </c>
      <c r="J14" s="33"/>
      <c r="K14" s="63">
        <v>813</v>
      </c>
      <c r="L14" s="32">
        <v>-813</v>
      </c>
      <c r="M14" s="32">
        <v>0</v>
      </c>
      <c r="N14" s="32"/>
      <c r="O14" s="32"/>
      <c r="P14" s="32"/>
      <c r="Q14" s="135"/>
      <c r="R14" s="135"/>
      <c r="S14" s="32">
        <v>4512</v>
      </c>
      <c r="T14" s="135">
        <v>5829</v>
      </c>
      <c r="U14" s="135">
        <v>5577</v>
      </c>
      <c r="V14" s="33">
        <v>7272</v>
      </c>
      <c r="W14" s="32">
        <v>5949</v>
      </c>
      <c r="X14" s="188">
        <v>7272</v>
      </c>
      <c r="Y14" s="32">
        <v>7272</v>
      </c>
      <c r="Z14" s="188">
        <v>7272</v>
      </c>
      <c r="AA14" s="32">
        <v>7272</v>
      </c>
      <c r="AB14" s="188">
        <v>0</v>
      </c>
      <c r="AC14" s="230"/>
      <c r="AD14" s="33">
        <f>((AD88+AD89)/2)*3*$AD$15</f>
        <v>8622</v>
      </c>
      <c r="AE14" s="33">
        <f>((AE88+AE89)/2)*3*$AD$15</f>
        <v>8838</v>
      </c>
      <c r="AF14" s="33">
        <f aca="true" t="shared" si="5" ref="AF14:AX14">((AF88+AF89)/2)*3*$AD$15</f>
        <v>9063</v>
      </c>
      <c r="AG14" s="33">
        <f t="shared" si="5"/>
        <v>9288</v>
      </c>
      <c r="AH14" s="33">
        <f t="shared" si="5"/>
        <v>9522</v>
      </c>
      <c r="AI14" s="33">
        <f t="shared" si="5"/>
        <v>9756</v>
      </c>
      <c r="AJ14" s="33">
        <f t="shared" si="5"/>
        <v>9999</v>
      </c>
      <c r="AK14" s="33">
        <f t="shared" si="5"/>
        <v>10251</v>
      </c>
      <c r="AL14" s="33">
        <f t="shared" si="5"/>
        <v>10503</v>
      </c>
      <c r="AM14" s="33">
        <f t="shared" si="5"/>
        <v>10764</v>
      </c>
      <c r="AN14" s="33">
        <f t="shared" si="5"/>
        <v>11034</v>
      </c>
      <c r="AO14" s="33">
        <f t="shared" si="5"/>
        <v>11304</v>
      </c>
      <c r="AP14" s="33">
        <f t="shared" si="5"/>
        <v>11592</v>
      </c>
      <c r="AQ14" s="33">
        <f t="shared" si="5"/>
        <v>11880</v>
      </c>
      <c r="AR14" s="33">
        <f t="shared" si="5"/>
        <v>12177</v>
      </c>
      <c r="AS14" s="33">
        <f t="shared" si="5"/>
        <v>12483</v>
      </c>
      <c r="AT14" s="33">
        <f t="shared" si="5"/>
        <v>12789</v>
      </c>
      <c r="AU14" s="33">
        <f t="shared" si="5"/>
        <v>13113</v>
      </c>
      <c r="AV14" s="33">
        <f t="shared" si="5"/>
        <v>13437</v>
      </c>
      <c r="AW14" s="33">
        <f t="shared" si="5"/>
        <v>13779</v>
      </c>
      <c r="AX14" s="33">
        <f t="shared" si="5"/>
        <v>14121</v>
      </c>
    </row>
    <row r="15" spans="1:50" ht="15.75">
      <c r="A15" s="7"/>
      <c r="B15" s="7"/>
      <c r="C15" s="7"/>
      <c r="D15" s="7"/>
      <c r="E15" s="249"/>
      <c r="F15" s="7"/>
      <c r="G15" s="267" t="s">
        <v>78</v>
      </c>
      <c r="H15" s="32"/>
      <c r="I15" s="32"/>
      <c r="J15" s="33"/>
      <c r="K15" s="63"/>
      <c r="L15" s="32"/>
      <c r="M15" s="32"/>
      <c r="N15" s="63"/>
      <c r="O15" s="32"/>
      <c r="P15" s="32"/>
      <c r="Q15" s="135"/>
      <c r="R15" s="135"/>
      <c r="S15" s="32"/>
      <c r="T15" s="135"/>
      <c r="U15" s="135"/>
      <c r="V15" s="33"/>
      <c r="W15" s="32"/>
      <c r="X15" s="188"/>
      <c r="Y15" s="32"/>
      <c r="Z15" s="63"/>
      <c r="AA15" s="32"/>
      <c r="AB15" s="208"/>
      <c r="AC15" s="234"/>
      <c r="AD15" s="209">
        <v>6</v>
      </c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</row>
    <row r="16" spans="1:50" ht="15" hidden="1">
      <c r="A16" s="7"/>
      <c r="B16" s="7"/>
      <c r="C16" s="7"/>
      <c r="D16" s="7"/>
      <c r="E16" s="249"/>
      <c r="F16" s="7"/>
      <c r="G16" s="224" t="s">
        <v>22</v>
      </c>
      <c r="H16" s="32">
        <v>40000</v>
      </c>
      <c r="I16" s="32">
        <v>25000</v>
      </c>
      <c r="J16" s="33"/>
      <c r="K16" s="63">
        <v>-18000</v>
      </c>
      <c r="L16" s="32"/>
      <c r="M16" s="33"/>
      <c r="N16" s="63"/>
      <c r="O16" s="32"/>
      <c r="P16" s="32"/>
      <c r="Q16" s="135"/>
      <c r="R16" s="135"/>
      <c r="S16" s="32"/>
      <c r="T16" s="135"/>
      <c r="U16" s="135"/>
      <c r="V16" s="33"/>
      <c r="W16" s="32"/>
      <c r="X16" s="188"/>
      <c r="Y16" s="32"/>
      <c r="Z16" s="32"/>
      <c r="AA16" s="32"/>
      <c r="AB16" s="33"/>
      <c r="AC16" s="230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15.75">
      <c r="A17" s="51"/>
      <c r="B17" s="7"/>
      <c r="C17" s="7"/>
      <c r="D17" s="7"/>
      <c r="E17" s="249"/>
      <c r="F17" s="7"/>
      <c r="G17" s="225" t="s">
        <v>83</v>
      </c>
      <c r="H17" s="32">
        <v>13680</v>
      </c>
      <c r="I17" s="32">
        <v>13680</v>
      </c>
      <c r="J17" s="33">
        <v>25992</v>
      </c>
      <c r="K17" s="33">
        <v>27036</v>
      </c>
      <c r="L17" s="33">
        <v>14532</v>
      </c>
      <c r="M17" s="33">
        <v>37789</v>
      </c>
      <c r="N17" s="33">
        <v>45000</v>
      </c>
      <c r="O17" s="32">
        <v>36000</v>
      </c>
      <c r="P17" s="33">
        <v>36000</v>
      </c>
      <c r="Q17" s="135">
        <v>36000</v>
      </c>
      <c r="R17" s="135">
        <v>36000</v>
      </c>
      <c r="S17" s="32">
        <v>36000</v>
      </c>
      <c r="T17" s="135">
        <v>36000</v>
      </c>
      <c r="U17" s="135">
        <f>(T17+T18)</f>
        <v>36000</v>
      </c>
      <c r="V17" s="33">
        <v>36000</v>
      </c>
      <c r="W17" s="32">
        <f>(V17+V18)</f>
        <v>58800</v>
      </c>
      <c r="X17" s="188">
        <f>(W17+W18)</f>
        <v>58800</v>
      </c>
      <c r="Y17" s="33">
        <f>(X17+X18)</f>
        <v>58800</v>
      </c>
      <c r="Z17" s="33">
        <f>(Y17+Y18)</f>
        <v>58800</v>
      </c>
      <c r="AA17" s="33">
        <v>65609</v>
      </c>
      <c r="AB17" s="33">
        <v>10360.34</v>
      </c>
      <c r="AC17" s="230"/>
      <c r="AD17" s="33">
        <f>$E$84*(((AD88*38)+(AD89*38))*12)+AD18</f>
        <v>68727.96</v>
      </c>
      <c r="AE17" s="33">
        <f>$E$84*(((AE88*38)+(AE89*38))*12)</f>
        <v>70449.74605427975</v>
      </c>
      <c r="AF17" s="33">
        <f aca="true" t="shared" si="6" ref="AF17:AX17">$E$84*(((AF88*38)+(AF89*38))*12)</f>
        <v>72243.27319415449</v>
      </c>
      <c r="AG17" s="33">
        <f t="shared" si="6"/>
        <v>74036.80033402923</v>
      </c>
      <c r="AH17" s="33">
        <f t="shared" si="6"/>
        <v>75902.06855949896</v>
      </c>
      <c r="AI17" s="33">
        <f t="shared" si="6"/>
        <v>77767.33678496869</v>
      </c>
      <c r="AJ17" s="33">
        <f t="shared" si="6"/>
        <v>79704.3460960334</v>
      </c>
      <c r="AK17" s="33">
        <f t="shared" si="6"/>
        <v>81713.09649269312</v>
      </c>
      <c r="AL17" s="33">
        <f t="shared" si="6"/>
        <v>83721.84688935282</v>
      </c>
      <c r="AM17" s="33">
        <f t="shared" si="6"/>
        <v>85802.33837160752</v>
      </c>
      <c r="AN17" s="33">
        <f t="shared" si="6"/>
        <v>87954.5709394572</v>
      </c>
      <c r="AO17" s="33">
        <f t="shared" si="6"/>
        <v>90106.80350730689</v>
      </c>
      <c r="AP17" s="33">
        <f t="shared" si="6"/>
        <v>92402.51824634656</v>
      </c>
      <c r="AQ17" s="33">
        <f t="shared" si="6"/>
        <v>94698.23298538623</v>
      </c>
      <c r="AR17" s="33">
        <f t="shared" si="6"/>
        <v>97065.68881002089</v>
      </c>
      <c r="AS17" s="33">
        <f t="shared" si="6"/>
        <v>99504.88572025053</v>
      </c>
      <c r="AT17" s="33">
        <f t="shared" si="6"/>
        <v>101944.08263048017</v>
      </c>
      <c r="AU17" s="33">
        <f t="shared" si="6"/>
        <v>104526.7617118998</v>
      </c>
      <c r="AV17" s="33">
        <f t="shared" si="6"/>
        <v>107109.44079331942</v>
      </c>
      <c r="AW17" s="33">
        <f t="shared" si="6"/>
        <v>109835.60204592903</v>
      </c>
      <c r="AX17" s="33">
        <f t="shared" si="6"/>
        <v>112561.76329853863</v>
      </c>
    </row>
    <row r="18" spans="1:50" ht="15" hidden="1">
      <c r="A18" s="51"/>
      <c r="B18" s="7"/>
      <c r="C18" s="7"/>
      <c r="D18" s="7"/>
      <c r="E18" s="249"/>
      <c r="F18" s="7"/>
      <c r="G18" s="225" t="s">
        <v>70</v>
      </c>
      <c r="H18" s="32"/>
      <c r="I18" s="32"/>
      <c r="J18" s="33"/>
      <c r="K18" s="63"/>
      <c r="L18" s="32"/>
      <c r="M18" s="32"/>
      <c r="N18" s="33"/>
      <c r="O18" s="32"/>
      <c r="P18" s="33"/>
      <c r="Q18" s="135"/>
      <c r="R18" s="135"/>
      <c r="S18" s="32"/>
      <c r="T18" s="135"/>
      <c r="U18" s="135"/>
      <c r="V18" s="33">
        <f>(25*76*12)</f>
        <v>22800</v>
      </c>
      <c r="W18" s="32"/>
      <c r="X18" s="188"/>
      <c r="Y18" s="33"/>
      <c r="Z18" s="33"/>
      <c r="AA18" s="33">
        <v>31920</v>
      </c>
      <c r="AB18" s="33"/>
      <c r="AC18" s="230"/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</row>
    <row r="19" spans="1:50" ht="15" hidden="1">
      <c r="A19" s="10" t="s">
        <v>13</v>
      </c>
      <c r="B19" s="9"/>
      <c r="C19" s="7"/>
      <c r="D19" s="53"/>
      <c r="E19" s="249"/>
      <c r="F19" s="7"/>
      <c r="G19" s="19" t="s">
        <v>51</v>
      </c>
      <c r="H19" s="32"/>
      <c r="I19" s="32"/>
      <c r="J19" s="33"/>
      <c r="K19" s="63"/>
      <c r="L19" s="32"/>
      <c r="M19" s="32"/>
      <c r="N19" s="33"/>
      <c r="O19" s="32"/>
      <c r="P19" s="33"/>
      <c r="Q19" s="135"/>
      <c r="R19" s="135"/>
      <c r="S19" s="32"/>
      <c r="T19" s="135"/>
      <c r="U19" s="135"/>
      <c r="V19" s="33"/>
      <c r="W19" s="32"/>
      <c r="X19" s="188"/>
      <c r="Y19" s="33"/>
      <c r="Z19" s="33"/>
      <c r="AA19" s="33"/>
      <c r="AB19" s="33"/>
      <c r="AC19" s="230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5" hidden="1">
      <c r="A20" s="49" t="s">
        <v>14</v>
      </c>
      <c r="B20" s="9"/>
      <c r="C20" s="7"/>
      <c r="D20" s="53"/>
      <c r="E20" s="250" t="s">
        <v>2</v>
      </c>
      <c r="F20" s="51"/>
      <c r="G20" s="19" t="s">
        <v>52</v>
      </c>
      <c r="H20" s="13"/>
      <c r="I20" s="13"/>
      <c r="J20" s="34" t="s">
        <v>3</v>
      </c>
      <c r="K20" s="43"/>
      <c r="L20" s="13"/>
      <c r="M20" s="13"/>
      <c r="N20" s="15" t="s">
        <v>0</v>
      </c>
      <c r="O20" s="13"/>
      <c r="P20" s="35">
        <v>142000</v>
      </c>
      <c r="Q20" s="136" t="s">
        <v>4</v>
      </c>
      <c r="R20" s="163" t="s">
        <v>4</v>
      </c>
      <c r="S20" s="13"/>
      <c r="T20" s="139"/>
      <c r="U20" s="139"/>
      <c r="V20" s="35"/>
      <c r="W20" s="13"/>
      <c r="X20" s="189"/>
      <c r="Y20" s="13"/>
      <c r="Z20" s="13"/>
      <c r="AA20" s="13"/>
      <c r="AB20" s="35"/>
      <c r="AC20" s="2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1:50" ht="15.75">
      <c r="A21" s="11" t="s">
        <v>15</v>
      </c>
      <c r="B21" s="11" t="s">
        <v>5</v>
      </c>
      <c r="C21" s="52"/>
      <c r="D21" s="54"/>
      <c r="E21" s="251" t="s">
        <v>6</v>
      </c>
      <c r="F21" s="52"/>
      <c r="G21" s="226" t="s">
        <v>7</v>
      </c>
      <c r="H21" s="36">
        <f aca="true" t="shared" si="7" ref="H21:AB21">SUM(H9:H17)</f>
        <v>54232.79</v>
      </c>
      <c r="I21" s="36">
        <f t="shared" si="7"/>
        <v>94499.85</v>
      </c>
      <c r="J21" s="37">
        <f t="shared" si="7"/>
        <v>121122.8</v>
      </c>
      <c r="K21" s="64">
        <f t="shared" si="7"/>
        <v>54756.8</v>
      </c>
      <c r="L21" s="36">
        <f t="shared" si="7"/>
        <v>69051.8</v>
      </c>
      <c r="M21" s="36">
        <f>SUM(M9:M19)</f>
        <v>109741.8</v>
      </c>
      <c r="N21" s="36">
        <f>SUM(N9:N19)</f>
        <v>556493.87</v>
      </c>
      <c r="O21" s="36">
        <f t="shared" si="7"/>
        <v>355678.3499999999</v>
      </c>
      <c r="P21" s="37">
        <v>369056</v>
      </c>
      <c r="Q21" s="137">
        <f t="shared" si="7"/>
        <v>323120.15</v>
      </c>
      <c r="R21" s="137">
        <f t="shared" si="7"/>
        <v>239966.62000000002</v>
      </c>
      <c r="S21" s="36">
        <f t="shared" si="7"/>
        <v>365563.2866666667</v>
      </c>
      <c r="T21" s="137">
        <f t="shared" si="7"/>
        <v>216182.85</v>
      </c>
      <c r="U21" s="137">
        <f t="shared" si="7"/>
        <v>257498.19</v>
      </c>
      <c r="V21" s="37">
        <f t="shared" si="7"/>
        <v>292369.436475</v>
      </c>
      <c r="W21" s="36">
        <f t="shared" si="7"/>
        <v>302839.98</v>
      </c>
      <c r="X21" s="190">
        <f t="shared" si="7"/>
        <v>304674.851805</v>
      </c>
      <c r="Y21" s="36">
        <f t="shared" si="7"/>
        <v>165246.5625</v>
      </c>
      <c r="Z21" s="36">
        <f t="shared" si="7"/>
        <v>178612.652205</v>
      </c>
      <c r="AA21" s="36">
        <f t="shared" si="7"/>
        <v>310662.2524061025</v>
      </c>
      <c r="AB21" s="37">
        <f t="shared" si="7"/>
        <v>28065.838325</v>
      </c>
      <c r="AC21" s="236"/>
      <c r="AD21" s="37">
        <f>SUM(AD9:AD20)</f>
        <v>174404.46000000002</v>
      </c>
      <c r="AE21" s="37">
        <f>SUM(AE9:AE20)</f>
        <v>309757.40828427975</v>
      </c>
      <c r="AF21" s="37">
        <f aca="true" t="shared" si="8" ref="AF21:AX21">SUM(AF9:AF20)</f>
        <v>199076.24194180022</v>
      </c>
      <c r="AG21" s="37">
        <f t="shared" si="8"/>
        <v>406593.51307674916</v>
      </c>
      <c r="AH21" s="37">
        <f t="shared" si="8"/>
        <v>422628.9337969996</v>
      </c>
      <c r="AI21" s="37">
        <f t="shared" si="8"/>
        <v>423034.11661757575</v>
      </c>
      <c r="AJ21" s="37">
        <f t="shared" si="8"/>
        <v>108143.73769030927</v>
      </c>
      <c r="AK21" s="37">
        <f t="shared" si="8"/>
        <v>135839.87332290638</v>
      </c>
      <c r="AL21" s="37">
        <f t="shared" si="8"/>
        <v>224899.80772412248</v>
      </c>
      <c r="AM21" s="37">
        <f t="shared" si="8"/>
        <v>233671.39229368162</v>
      </c>
      <c r="AN21" s="37">
        <f t="shared" si="8"/>
        <v>302309.21372360183</v>
      </c>
      <c r="AO21" s="37">
        <f t="shared" si="8"/>
        <v>374860.0902216267</v>
      </c>
      <c r="AP21" s="37">
        <f t="shared" si="8"/>
        <v>322699.1592177681</v>
      </c>
      <c r="AQ21" s="37">
        <f t="shared" si="8"/>
        <v>421499.93029767857</v>
      </c>
      <c r="AR21" s="37">
        <f t="shared" si="8"/>
        <v>226591.59305556913</v>
      </c>
      <c r="AS21" s="37">
        <f t="shared" si="8"/>
        <v>330472.74078211316</v>
      </c>
      <c r="AT21" s="37">
        <f t="shared" si="8"/>
        <v>439119.0586213663</v>
      </c>
      <c r="AU21" s="37">
        <f t="shared" si="8"/>
        <v>523920.1943022668</v>
      </c>
      <c r="AV21" s="37">
        <f t="shared" si="8"/>
        <v>460269.87478141487</v>
      </c>
      <c r="AW21" s="37">
        <f t="shared" si="8"/>
        <v>486060.21300827456</v>
      </c>
      <c r="AX21" s="37">
        <f t="shared" si="8"/>
        <v>520760.8977018403</v>
      </c>
    </row>
    <row r="22" spans="1:50" ht="15.75">
      <c r="A22" s="10"/>
      <c r="B22" s="10"/>
      <c r="C22" s="51"/>
      <c r="D22" s="130"/>
      <c r="E22" s="250"/>
      <c r="F22" s="51"/>
      <c r="G22" s="104"/>
      <c r="H22" s="32"/>
      <c r="I22" s="32"/>
      <c r="J22" s="33"/>
      <c r="K22" s="63"/>
      <c r="L22" s="32"/>
      <c r="M22" s="32"/>
      <c r="N22" s="32"/>
      <c r="O22" s="32"/>
      <c r="P22" s="33"/>
      <c r="Q22" s="135"/>
      <c r="R22" s="135"/>
      <c r="S22" s="32"/>
      <c r="T22" s="135"/>
      <c r="U22" s="135"/>
      <c r="V22" s="33"/>
      <c r="W22" s="32"/>
      <c r="X22" s="188"/>
      <c r="Y22" s="32"/>
      <c r="Z22" s="32"/>
      <c r="AA22" s="32"/>
      <c r="AB22" s="33"/>
      <c r="AC22" s="230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5.75">
      <c r="A23" s="10"/>
      <c r="B23" s="10"/>
      <c r="C23" s="51"/>
      <c r="D23" s="130"/>
      <c r="E23" s="250"/>
      <c r="F23" s="51"/>
      <c r="G23" s="104" t="s">
        <v>84</v>
      </c>
      <c r="H23" s="32"/>
      <c r="I23" s="32"/>
      <c r="J23" s="33"/>
      <c r="K23" s="63"/>
      <c r="L23" s="32"/>
      <c r="M23" s="32"/>
      <c r="N23" s="32"/>
      <c r="O23" s="32"/>
      <c r="P23" s="33"/>
      <c r="Q23" s="135"/>
      <c r="R23" s="135"/>
      <c r="S23" s="32"/>
      <c r="T23" s="135"/>
      <c r="U23" s="135"/>
      <c r="V23" s="33"/>
      <c r="W23" s="32"/>
      <c r="X23" s="188"/>
      <c r="Y23" s="32"/>
      <c r="Z23" s="32"/>
      <c r="AA23" s="32"/>
      <c r="AB23" s="33"/>
      <c r="AC23" s="2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5.75">
      <c r="A24" s="10"/>
      <c r="B24" s="10"/>
      <c r="C24" s="51"/>
      <c r="D24" s="130"/>
      <c r="E24" s="250"/>
      <c r="F24" s="51"/>
      <c r="G24" s="104"/>
      <c r="H24" s="32"/>
      <c r="I24" s="32"/>
      <c r="J24" s="33"/>
      <c r="K24" s="63"/>
      <c r="L24" s="32"/>
      <c r="M24" s="32"/>
      <c r="N24" s="32"/>
      <c r="O24" s="32"/>
      <c r="P24" s="33"/>
      <c r="Q24" s="135"/>
      <c r="R24" s="135"/>
      <c r="S24" s="32"/>
      <c r="T24" s="135"/>
      <c r="U24" s="135"/>
      <c r="V24" s="33"/>
      <c r="W24" s="32"/>
      <c r="X24" s="188"/>
      <c r="Y24" s="32"/>
      <c r="Z24" s="32"/>
      <c r="AA24" s="32"/>
      <c r="AB24" s="33"/>
      <c r="AC24" s="230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5.75">
      <c r="A25" s="268"/>
      <c r="B25" s="93"/>
      <c r="C25" s="94"/>
      <c r="D25" s="147"/>
      <c r="E25" s="253" t="s">
        <v>86</v>
      </c>
      <c r="F25" s="152"/>
      <c r="G25" s="105" t="s">
        <v>62</v>
      </c>
      <c r="H25" s="126"/>
      <c r="I25" s="126"/>
      <c r="J25" s="45"/>
      <c r="K25" s="153"/>
      <c r="L25" s="126"/>
      <c r="M25" s="126"/>
      <c r="N25" s="126"/>
      <c r="O25" s="126"/>
      <c r="P25" s="45"/>
      <c r="Q25" s="145"/>
      <c r="R25" s="145"/>
      <c r="S25" s="126"/>
      <c r="T25" s="145"/>
      <c r="U25" s="145"/>
      <c r="V25" s="45"/>
      <c r="W25" s="126"/>
      <c r="X25" s="196"/>
      <c r="Y25" s="126"/>
      <c r="Z25" s="126"/>
      <c r="AA25" s="126"/>
      <c r="AB25" s="269"/>
      <c r="AC25" s="22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</row>
    <row r="26" spans="1:50" ht="15.75">
      <c r="A26" s="72"/>
      <c r="B26" s="48"/>
      <c r="C26" s="77"/>
      <c r="D26" s="58"/>
      <c r="E26" s="250" t="s">
        <v>6</v>
      </c>
      <c r="F26" s="12"/>
      <c r="G26" s="270" t="s">
        <v>30</v>
      </c>
      <c r="H26" s="14"/>
      <c r="I26" s="14"/>
      <c r="J26" s="41"/>
      <c r="K26" s="65"/>
      <c r="L26" s="14"/>
      <c r="M26" s="14"/>
      <c r="N26" s="14"/>
      <c r="O26" s="14"/>
      <c r="P26" s="41"/>
      <c r="Q26" s="138"/>
      <c r="R26" s="138"/>
      <c r="S26" s="14"/>
      <c r="T26" s="138"/>
      <c r="U26" s="138"/>
      <c r="V26" s="41"/>
      <c r="W26" s="14"/>
      <c r="X26" s="191"/>
      <c r="Y26" s="14"/>
      <c r="Z26" s="14"/>
      <c r="AA26" s="14"/>
      <c r="AB26" s="42"/>
      <c r="AC26" s="230" t="s">
        <v>85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</row>
    <row r="27" spans="1:50" ht="15.75">
      <c r="A27" s="72"/>
      <c r="B27" s="48" t="s">
        <v>0</v>
      </c>
      <c r="C27" s="77"/>
      <c r="D27" s="58"/>
      <c r="E27" s="250" t="s">
        <v>90</v>
      </c>
      <c r="F27" s="12"/>
      <c r="G27" s="131"/>
      <c r="H27" s="65"/>
      <c r="I27" s="41"/>
      <c r="J27" s="58"/>
      <c r="K27" s="65"/>
      <c r="L27" s="14"/>
      <c r="M27" s="14"/>
      <c r="N27" s="115"/>
      <c r="O27" s="14"/>
      <c r="P27" s="41"/>
      <c r="Q27" s="138"/>
      <c r="R27" s="138"/>
      <c r="S27" s="14"/>
      <c r="T27" s="138"/>
      <c r="U27" s="138"/>
      <c r="V27" s="41"/>
      <c r="W27" s="14"/>
      <c r="X27" s="191"/>
      <c r="Y27" s="14"/>
      <c r="Z27" s="14"/>
      <c r="AA27" s="14"/>
      <c r="AB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</row>
    <row r="28" spans="1:50" ht="15.75">
      <c r="A28" s="71">
        <v>2020</v>
      </c>
      <c r="B28" s="48">
        <v>60000</v>
      </c>
      <c r="C28" s="77" t="s">
        <v>24</v>
      </c>
      <c r="D28" s="68" t="s">
        <v>23</v>
      </c>
      <c r="E28" s="252">
        <v>6</v>
      </c>
      <c r="F28" s="12"/>
      <c r="G28" s="227" t="s">
        <v>18</v>
      </c>
      <c r="H28" s="65"/>
      <c r="I28" s="41"/>
      <c r="J28" s="35">
        <v>71000</v>
      </c>
      <c r="K28" s="65"/>
      <c r="L28" s="14"/>
      <c r="M28" s="14"/>
      <c r="N28" s="116">
        <v>1957.5</v>
      </c>
      <c r="O28" s="117">
        <v>36000</v>
      </c>
      <c r="P28" s="41">
        <v>54000</v>
      </c>
      <c r="Q28" s="139"/>
      <c r="R28" s="139" t="s">
        <v>0</v>
      </c>
      <c r="S28" s="14"/>
      <c r="T28" s="138"/>
      <c r="U28" s="138"/>
      <c r="V28" s="185">
        <f>(34400+6500)</f>
        <v>40900</v>
      </c>
      <c r="W28" s="14"/>
      <c r="X28" s="13">
        <f>SUM(13540.5,2925.5)</f>
        <v>16466</v>
      </c>
      <c r="Y28" s="14"/>
      <c r="Z28" s="35">
        <v>0</v>
      </c>
      <c r="AA28" s="35">
        <f>+$B28*((1+$E$85)^(AA$7-$A28))</f>
        <v>60000</v>
      </c>
      <c r="AC28" s="231" t="s">
        <v>87</v>
      </c>
      <c r="AD28" s="35"/>
      <c r="AE28" s="35">
        <v>48000</v>
      </c>
      <c r="AF28" s="35"/>
      <c r="AG28" s="35"/>
      <c r="AH28" s="35"/>
      <c r="AI28" s="35">
        <f>(AE28+60000)*(1+$E$85)^$E28</f>
        <v>125246.88916699214</v>
      </c>
      <c r="AJ28" s="76"/>
      <c r="AL28" s="35"/>
      <c r="AM28" s="35"/>
      <c r="AN28" s="35"/>
      <c r="AO28" s="35">
        <f>(AI28)*(1+$E$85)^$E28</f>
        <v>145247.99301860013</v>
      </c>
      <c r="AQ28" s="35"/>
      <c r="AR28" s="35"/>
      <c r="AS28" s="35"/>
      <c r="AT28" s="35"/>
      <c r="AU28" s="35">
        <f>(AO28)*(1+$E$85)^$E28</f>
        <v>168443.1415123024</v>
      </c>
      <c r="AV28" s="35"/>
      <c r="AW28" s="35"/>
      <c r="AX28" s="35"/>
    </row>
    <row r="29" spans="1:50" ht="15.75">
      <c r="A29" s="73">
        <v>2013</v>
      </c>
      <c r="B29" s="48">
        <v>12000</v>
      </c>
      <c r="C29" s="77"/>
      <c r="D29" s="68" t="s">
        <v>17</v>
      </c>
      <c r="E29" s="250">
        <v>6</v>
      </c>
      <c r="F29" s="55"/>
      <c r="G29" s="227" t="s">
        <v>19</v>
      </c>
      <c r="H29" s="65"/>
      <c r="I29" s="41"/>
      <c r="J29" s="35">
        <v>3350</v>
      </c>
      <c r="K29" s="43" t="s">
        <v>0</v>
      </c>
      <c r="L29" s="14"/>
      <c r="M29" s="15"/>
      <c r="N29" s="116" t="s">
        <v>0</v>
      </c>
      <c r="O29" s="13" t="s">
        <v>0</v>
      </c>
      <c r="P29" s="13"/>
      <c r="Q29" s="139"/>
      <c r="R29" s="139" t="s">
        <v>0</v>
      </c>
      <c r="S29" s="13" t="s">
        <v>0</v>
      </c>
      <c r="T29" s="138"/>
      <c r="U29" s="138"/>
      <c r="V29" s="185"/>
      <c r="W29" s="13">
        <v>0</v>
      </c>
      <c r="X29" s="191"/>
      <c r="Y29" s="14"/>
      <c r="Z29" s="13"/>
      <c r="AA29" s="13">
        <v>12000</v>
      </c>
      <c r="AB29" s="35"/>
      <c r="AC29" s="235">
        <v>2013</v>
      </c>
      <c r="AD29" s="35"/>
      <c r="AE29" s="35"/>
      <c r="AF29" s="35"/>
      <c r="AG29" s="35"/>
      <c r="AH29" s="35">
        <f>+$B29*((1+$E$85)^(AB$7-$A29))</f>
        <v>14620.834770119012</v>
      </c>
      <c r="AI29" s="35"/>
      <c r="AJ29" s="35"/>
      <c r="AK29" s="35"/>
      <c r="AL29" s="35"/>
      <c r="AM29" s="35"/>
      <c r="AN29" s="35">
        <f>(AH29)*(1+$E$85)^$E29</f>
        <v>16955.685851685193</v>
      </c>
      <c r="AO29" s="35"/>
      <c r="AP29" s="35"/>
      <c r="AQ29" s="35"/>
      <c r="AR29" s="35"/>
      <c r="AS29" s="35"/>
      <c r="AT29" s="35">
        <f>(AN29)*(1+$E$85)^$E29</f>
        <v>19663.39728348474</v>
      </c>
      <c r="AU29" s="35"/>
      <c r="AV29" s="35"/>
      <c r="AW29" s="35"/>
      <c r="AX29" s="35"/>
    </row>
    <row r="30" spans="1:50" ht="15.75">
      <c r="A30" s="73">
        <v>2013</v>
      </c>
      <c r="B30" s="48">
        <v>3200</v>
      </c>
      <c r="C30" s="77"/>
      <c r="D30" s="68" t="s">
        <v>17</v>
      </c>
      <c r="E30" s="250">
        <v>6</v>
      </c>
      <c r="F30" s="55"/>
      <c r="G30" s="131" t="s">
        <v>26</v>
      </c>
      <c r="H30" s="65"/>
      <c r="I30" s="41"/>
      <c r="J30" s="35">
        <v>2000</v>
      </c>
      <c r="K30" s="43" t="s">
        <v>0</v>
      </c>
      <c r="L30" s="14"/>
      <c r="M30" s="15"/>
      <c r="N30" s="116" t="s">
        <v>0</v>
      </c>
      <c r="O30" s="13" t="s">
        <v>0</v>
      </c>
      <c r="P30" s="13"/>
      <c r="Q30" s="139"/>
      <c r="R30" s="139" t="s">
        <v>0</v>
      </c>
      <c r="S30" s="13" t="s">
        <v>0</v>
      </c>
      <c r="T30" s="138"/>
      <c r="U30" s="138"/>
      <c r="V30" s="185"/>
      <c r="W30" s="13" t="s">
        <v>0</v>
      </c>
      <c r="X30" s="191"/>
      <c r="Y30" s="14"/>
      <c r="Z30" s="13">
        <v>540.72</v>
      </c>
      <c r="AA30" s="13" t="s">
        <v>0</v>
      </c>
      <c r="AB30" s="206">
        <v>0</v>
      </c>
      <c r="AC30" s="237">
        <v>2013</v>
      </c>
      <c r="AD30" s="35"/>
      <c r="AE30" s="35"/>
      <c r="AF30" s="35"/>
      <c r="AG30" s="35"/>
      <c r="AH30" s="35"/>
      <c r="AI30" s="35">
        <f>+$B30*((1+$E$85)^(AI$7-$A30))</f>
        <v>4521.516227116052</v>
      </c>
      <c r="AJ30" s="35"/>
      <c r="AK30" s="35"/>
      <c r="AL30" s="35"/>
      <c r="AM30" s="35"/>
      <c r="AN30" s="35"/>
      <c r="AO30" s="35">
        <f>+$B30*((1+$E$85)^(AO$7-$A30))</f>
        <v>5243.572608929266</v>
      </c>
      <c r="AP30" s="35"/>
      <c r="AQ30" s="35"/>
      <c r="AR30" s="35"/>
      <c r="AS30" s="35"/>
      <c r="AT30" s="35"/>
      <c r="AU30" s="35">
        <f>+$B30*((1+$E$85)^(AU$7-$A30))</f>
        <v>6080.936642496663</v>
      </c>
      <c r="AV30" s="35"/>
      <c r="AW30" s="35"/>
      <c r="AX30" s="35"/>
    </row>
    <row r="31" spans="1:50" ht="15.75">
      <c r="A31" s="73"/>
      <c r="B31" s="48"/>
      <c r="C31" s="77"/>
      <c r="D31" s="68"/>
      <c r="E31" s="250"/>
      <c r="F31" s="55"/>
      <c r="G31" s="19"/>
      <c r="H31" s="65"/>
      <c r="I31" s="14"/>
      <c r="J31" s="35"/>
      <c r="K31" s="43"/>
      <c r="L31" s="14"/>
      <c r="M31" s="15"/>
      <c r="N31" s="116"/>
      <c r="O31" s="13"/>
      <c r="P31" s="13"/>
      <c r="Q31" s="139"/>
      <c r="R31" s="139"/>
      <c r="S31" s="13"/>
      <c r="T31" s="138"/>
      <c r="U31" s="138"/>
      <c r="V31" s="185"/>
      <c r="W31" s="13"/>
      <c r="X31" s="191"/>
      <c r="Y31" s="14"/>
      <c r="Z31" s="13"/>
      <c r="AA31" s="13"/>
      <c r="AB31" s="206"/>
      <c r="AC31" s="279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50" ht="15.75">
      <c r="A32" s="245"/>
      <c r="B32" s="93"/>
      <c r="C32" s="94"/>
      <c r="D32" s="147"/>
      <c r="E32" s="253"/>
      <c r="F32" s="152"/>
      <c r="G32" s="105" t="s">
        <v>63</v>
      </c>
      <c r="H32" s="126"/>
      <c r="I32" s="126"/>
      <c r="J32" s="45"/>
      <c r="K32" s="153"/>
      <c r="L32" s="126"/>
      <c r="M32" s="126"/>
      <c r="N32" s="246"/>
      <c r="O32" s="126"/>
      <c r="P32" s="45"/>
      <c r="Q32" s="145"/>
      <c r="R32" s="145"/>
      <c r="S32" s="126"/>
      <c r="T32" s="145"/>
      <c r="U32" s="145"/>
      <c r="V32" s="45"/>
      <c r="W32" s="126"/>
      <c r="X32" s="196"/>
      <c r="Y32" s="126"/>
      <c r="Z32" s="126"/>
      <c r="AA32" s="126"/>
      <c r="AB32" s="45"/>
      <c r="AC32" s="229"/>
      <c r="AD32" s="247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</row>
    <row r="33" spans="1:50" ht="15.75">
      <c r="A33" s="73">
        <v>2010</v>
      </c>
      <c r="B33" s="48">
        <v>57055</v>
      </c>
      <c r="C33" s="77"/>
      <c r="D33" s="58" t="s">
        <v>23</v>
      </c>
      <c r="E33" s="250">
        <v>50</v>
      </c>
      <c r="F33" s="12"/>
      <c r="G33" s="19" t="s">
        <v>53</v>
      </c>
      <c r="H33" s="14"/>
      <c r="I33" s="14"/>
      <c r="J33" s="41"/>
      <c r="K33" s="65"/>
      <c r="L33" s="14"/>
      <c r="M33" s="14"/>
      <c r="N33" s="115"/>
      <c r="O33" s="14"/>
      <c r="P33" s="41"/>
      <c r="Q33" s="148">
        <f>(40520+16535)</f>
        <v>57055</v>
      </c>
      <c r="R33" s="139"/>
      <c r="S33" s="14"/>
      <c r="T33" s="138"/>
      <c r="U33" s="138"/>
      <c r="V33" s="41"/>
      <c r="W33" s="14"/>
      <c r="X33" s="191"/>
      <c r="Y33" s="14"/>
      <c r="Z33" s="14"/>
      <c r="AA33" s="14"/>
      <c r="AB33" s="41"/>
      <c r="AC33" s="230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</row>
    <row r="34" spans="1:50" ht="15.75">
      <c r="A34" s="73">
        <v>2019</v>
      </c>
      <c r="B34" s="48">
        <v>634119</v>
      </c>
      <c r="C34" s="77"/>
      <c r="D34" s="68" t="s">
        <v>17</v>
      </c>
      <c r="E34" s="250">
        <v>24</v>
      </c>
      <c r="F34" s="12"/>
      <c r="G34" s="19" t="s">
        <v>34</v>
      </c>
      <c r="H34" s="14"/>
      <c r="I34" s="14"/>
      <c r="J34" s="41"/>
      <c r="K34" s="65"/>
      <c r="L34" s="14"/>
      <c r="M34" s="14"/>
      <c r="N34" s="117">
        <v>305189.65</v>
      </c>
      <c r="O34" s="13" t="s">
        <v>0</v>
      </c>
      <c r="P34" s="41"/>
      <c r="Q34" s="138"/>
      <c r="R34" s="139"/>
      <c r="S34" s="14"/>
      <c r="T34" s="138"/>
      <c r="U34" s="138"/>
      <c r="V34" s="41"/>
      <c r="W34" s="14"/>
      <c r="X34" s="191"/>
      <c r="Y34" s="13" t="s">
        <v>0</v>
      </c>
      <c r="Z34" s="76"/>
      <c r="AA34" s="13" t="s">
        <v>0</v>
      </c>
      <c r="AB34" s="41"/>
      <c r="AC34" s="230">
        <v>1999</v>
      </c>
      <c r="AD34" s="41"/>
      <c r="AE34" s="41"/>
      <c r="AF34" s="41"/>
      <c r="AG34" s="117">
        <v>211373</v>
      </c>
      <c r="AH34" s="117">
        <v>211373</v>
      </c>
      <c r="AI34" s="117">
        <v>211373</v>
      </c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</row>
    <row r="35" spans="1:50" ht="15.75">
      <c r="A35" s="73">
        <v>2018</v>
      </c>
      <c r="B35" s="48">
        <f>76525+225317</f>
        <v>301842</v>
      </c>
      <c r="C35" s="77"/>
      <c r="D35" s="68" t="s">
        <v>23</v>
      </c>
      <c r="E35" s="250">
        <v>50</v>
      </c>
      <c r="F35" s="12"/>
      <c r="G35" s="19" t="s">
        <v>35</v>
      </c>
      <c r="H35" s="14"/>
      <c r="I35" s="14"/>
      <c r="J35" s="41"/>
      <c r="K35" s="65"/>
      <c r="L35" s="14"/>
      <c r="M35" s="14"/>
      <c r="N35" s="115"/>
      <c r="O35" s="14"/>
      <c r="P35" s="13" t="s">
        <v>0</v>
      </c>
      <c r="Q35" s="139"/>
      <c r="R35" s="138"/>
      <c r="S35" s="13"/>
      <c r="T35" s="138"/>
      <c r="U35" s="138"/>
      <c r="V35" s="186"/>
      <c r="W35" s="157">
        <v>76525</v>
      </c>
      <c r="X35" s="193">
        <v>111075</v>
      </c>
      <c r="Y35" s="157">
        <f>(55850*2)*(E85*3)+(55850*2)</f>
        <v>120077.5</v>
      </c>
      <c r="Z35" s="13" t="s">
        <v>0</v>
      </c>
      <c r="AA35" s="14"/>
      <c r="AB35" s="35" t="s">
        <v>0</v>
      </c>
      <c r="AC35" s="235">
        <v>2018</v>
      </c>
      <c r="AD35" s="35" t="s">
        <v>0</v>
      </c>
      <c r="AE35" s="35" t="s">
        <v>0</v>
      </c>
      <c r="AF35" s="35" t="s">
        <v>0</v>
      </c>
      <c r="AG35" s="35" t="s">
        <v>0</v>
      </c>
      <c r="AH35" s="35" t="s">
        <v>0</v>
      </c>
      <c r="AI35" s="35" t="s">
        <v>0</v>
      </c>
      <c r="AJ35" s="35" t="s">
        <v>0</v>
      </c>
      <c r="AK35" s="35" t="s">
        <v>0</v>
      </c>
      <c r="AL35" s="35" t="s">
        <v>0</v>
      </c>
      <c r="AM35" s="35" t="s">
        <v>0</v>
      </c>
      <c r="AN35" s="35" t="s">
        <v>0</v>
      </c>
      <c r="AO35" s="35" t="s">
        <v>0</v>
      </c>
      <c r="AP35" s="35" t="s">
        <v>0</v>
      </c>
      <c r="AQ35" s="35" t="s">
        <v>0</v>
      </c>
      <c r="AR35" s="35" t="s">
        <v>0</v>
      </c>
      <c r="AS35" s="35" t="s">
        <v>0</v>
      </c>
      <c r="AT35" s="35" t="s">
        <v>0</v>
      </c>
      <c r="AU35" s="35" t="s">
        <v>0</v>
      </c>
      <c r="AV35" s="35" t="s">
        <v>0</v>
      </c>
      <c r="AW35" s="35" t="s">
        <v>0</v>
      </c>
      <c r="AX35" s="35" t="s">
        <v>0</v>
      </c>
    </row>
    <row r="36" spans="1:50" ht="15.75">
      <c r="A36" s="73">
        <v>2020</v>
      </c>
      <c r="B36" s="48">
        <v>65000</v>
      </c>
      <c r="C36" s="77"/>
      <c r="D36" s="58" t="s">
        <v>17</v>
      </c>
      <c r="E36" s="250">
        <v>24</v>
      </c>
      <c r="F36" s="12"/>
      <c r="G36" s="19" t="s">
        <v>26</v>
      </c>
      <c r="H36" s="14"/>
      <c r="I36" s="14"/>
      <c r="J36" s="41"/>
      <c r="K36" s="65"/>
      <c r="L36" s="14"/>
      <c r="M36" s="14"/>
      <c r="N36" s="115"/>
      <c r="O36" s="14"/>
      <c r="P36" s="14"/>
      <c r="Q36" s="138"/>
      <c r="R36" s="138"/>
      <c r="S36" s="14"/>
      <c r="T36" s="138"/>
      <c r="U36" s="138"/>
      <c r="V36" s="41"/>
      <c r="W36" s="14"/>
      <c r="X36" s="191"/>
      <c r="Y36" s="14"/>
      <c r="Z36" s="13">
        <v>402.5</v>
      </c>
      <c r="AA36" s="14"/>
      <c r="AB36" s="204">
        <v>0</v>
      </c>
      <c r="AC36" s="243">
        <v>1999</v>
      </c>
      <c r="AD36" s="120"/>
      <c r="AE36" s="35">
        <v>65000</v>
      </c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</row>
    <row r="37" spans="1:50" ht="15.75">
      <c r="A37" s="82">
        <v>2003</v>
      </c>
      <c r="B37" s="48">
        <v>8250</v>
      </c>
      <c r="C37" s="77"/>
      <c r="D37" s="57" t="s">
        <v>17</v>
      </c>
      <c r="E37" s="250">
        <v>24</v>
      </c>
      <c r="F37" s="51"/>
      <c r="G37" s="19" t="s">
        <v>19</v>
      </c>
      <c r="H37" s="74"/>
      <c r="I37" s="76"/>
      <c r="J37" s="35"/>
      <c r="K37" s="43"/>
      <c r="L37" s="13"/>
      <c r="M37" s="13"/>
      <c r="N37" s="116"/>
      <c r="O37" s="13"/>
      <c r="P37" s="13" t="s">
        <v>0</v>
      </c>
      <c r="Q37" s="139"/>
      <c r="R37" s="139"/>
      <c r="S37" s="13"/>
      <c r="T37" s="139"/>
      <c r="U37" s="139"/>
      <c r="V37" s="35"/>
      <c r="W37" s="13"/>
      <c r="X37" s="189"/>
      <c r="Y37" s="83"/>
      <c r="Z37" s="13" t="s">
        <v>0</v>
      </c>
      <c r="AA37" s="83"/>
      <c r="AB37" s="35" t="s">
        <v>0</v>
      </c>
      <c r="AC37" s="235">
        <v>1999</v>
      </c>
      <c r="AD37" s="35"/>
      <c r="AE37" s="35" t="s">
        <v>0</v>
      </c>
      <c r="AF37" s="83">
        <f>+$B37*((1+$E$85)^(AF$7-$A37))</f>
        <v>13856.550273205656</v>
      </c>
      <c r="AG37" s="35" t="s">
        <v>0</v>
      </c>
      <c r="AH37" s="35" t="s">
        <v>0</v>
      </c>
      <c r="AI37" s="35" t="s">
        <v>0</v>
      </c>
      <c r="AJ37" s="35" t="s">
        <v>0</v>
      </c>
      <c r="AK37" s="35" t="s">
        <v>0</v>
      </c>
      <c r="AL37" s="35" t="s">
        <v>0</v>
      </c>
      <c r="AM37" s="35" t="s">
        <v>0</v>
      </c>
      <c r="AN37" s="35" t="s">
        <v>0</v>
      </c>
      <c r="AO37" s="35" t="s">
        <v>0</v>
      </c>
      <c r="AP37" s="35" t="s">
        <v>0</v>
      </c>
      <c r="AQ37" s="35" t="s">
        <v>0</v>
      </c>
      <c r="AR37" s="35" t="s">
        <v>0</v>
      </c>
      <c r="AS37" s="35" t="s">
        <v>0</v>
      </c>
      <c r="AT37" s="35" t="s">
        <v>0</v>
      </c>
      <c r="AU37" s="35" t="s">
        <v>0</v>
      </c>
      <c r="AV37" s="35" t="s">
        <v>0</v>
      </c>
      <c r="AW37" s="35" t="s">
        <v>0</v>
      </c>
      <c r="AX37" s="35" t="s">
        <v>0</v>
      </c>
    </row>
    <row r="38" spans="1:50" ht="15.75">
      <c r="A38" s="82"/>
      <c r="B38" s="48"/>
      <c r="C38" s="77"/>
      <c r="D38" s="57"/>
      <c r="E38" s="252"/>
      <c r="F38" s="51"/>
      <c r="G38" s="19"/>
      <c r="H38" s="13"/>
      <c r="I38" s="13"/>
      <c r="J38" s="35"/>
      <c r="K38" s="43"/>
      <c r="L38" s="13"/>
      <c r="M38" s="13"/>
      <c r="N38" s="118"/>
      <c r="O38" s="116"/>
      <c r="P38" s="35">
        <v>26700</v>
      </c>
      <c r="Q38" s="140"/>
      <c r="R38" s="139"/>
      <c r="S38" s="13"/>
      <c r="T38" s="139"/>
      <c r="U38" s="139"/>
      <c r="V38" s="35"/>
      <c r="W38" s="13"/>
      <c r="X38" s="189"/>
      <c r="Y38" s="83"/>
      <c r="Z38" s="13"/>
      <c r="AA38" s="83"/>
      <c r="AB38" s="35"/>
      <c r="AC38" s="2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</row>
    <row r="39" spans="1:50" ht="15.75">
      <c r="A39" s="92"/>
      <c r="B39" s="93"/>
      <c r="C39" s="94"/>
      <c r="D39" s="95"/>
      <c r="E39" s="254"/>
      <c r="F39" s="96"/>
      <c r="G39" s="105" t="s">
        <v>64</v>
      </c>
      <c r="H39" s="97"/>
      <c r="I39" s="97"/>
      <c r="J39" s="98"/>
      <c r="K39" s="99"/>
      <c r="L39" s="97"/>
      <c r="M39" s="97"/>
      <c r="N39" s="119"/>
      <c r="O39" s="121"/>
      <c r="P39" s="98"/>
      <c r="Q39" s="141"/>
      <c r="R39" s="142"/>
      <c r="S39" s="97"/>
      <c r="T39" s="142"/>
      <c r="U39" s="142"/>
      <c r="V39" s="98"/>
      <c r="W39" s="97"/>
      <c r="X39" s="194"/>
      <c r="Y39" s="100"/>
      <c r="Z39" s="97"/>
      <c r="AA39" s="100"/>
      <c r="AB39" s="98"/>
      <c r="AC39" s="239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</row>
    <row r="40" spans="1:50" ht="15.75">
      <c r="A40" s="82">
        <v>2016</v>
      </c>
      <c r="B40" s="48">
        <v>23000</v>
      </c>
      <c r="C40" s="77"/>
      <c r="D40" s="57" t="s">
        <v>23</v>
      </c>
      <c r="E40" s="252">
        <v>20</v>
      </c>
      <c r="F40" s="51"/>
      <c r="G40" s="19" t="s">
        <v>71</v>
      </c>
      <c r="H40" s="13"/>
      <c r="I40" s="13"/>
      <c r="J40" s="35"/>
      <c r="K40" s="43"/>
      <c r="L40" s="13"/>
      <c r="M40" s="35"/>
      <c r="N40" s="120">
        <v>6507.03</v>
      </c>
      <c r="O40" s="116"/>
      <c r="P40" s="35"/>
      <c r="Q40" s="140"/>
      <c r="R40" s="139"/>
      <c r="S40" s="13"/>
      <c r="T40" s="139"/>
      <c r="U40" s="139"/>
      <c r="V40" s="35"/>
      <c r="W40" s="13"/>
      <c r="X40" s="189"/>
      <c r="Y40" s="83"/>
      <c r="Z40" s="13"/>
      <c r="AA40" s="83"/>
      <c r="AB40" s="35"/>
      <c r="AC40" s="260">
        <v>2020</v>
      </c>
      <c r="AD40" s="35"/>
      <c r="AE40" s="35">
        <f>(B40*2)*(1+$E$85)^4</f>
        <v>50775.39296874999</v>
      </c>
      <c r="AF40" s="35">
        <f>(AE40)*(1+$E$85)^1</f>
        <v>52044.777792968736</v>
      </c>
      <c r="AG40" s="35">
        <f>(AF40)*(1+$E$85)^1</f>
        <v>53345.89723779295</v>
      </c>
      <c r="AH40" s="35">
        <f>(AG40)*(1+$E$85)^1</f>
        <v>54679.54466873777</v>
      </c>
      <c r="AI40" s="35">
        <f>(AH40)*(1+$E$85)^1</f>
        <v>56046.53328545621</v>
      </c>
      <c r="AJ40" s="35">
        <f>(AI40)*(1+$E$85)^1</f>
        <v>57447.696617592606</v>
      </c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>
        <f>(AE40)*(1+$E$85)^$E40</f>
        <v>83201.39368079908</v>
      </c>
      <c r="AW40" s="35">
        <f>(AF40)*(1+$E$85)^$E40</f>
        <v>85281.42852281906</v>
      </c>
      <c r="AX40" s="35"/>
    </row>
    <row r="41" spans="1:50" ht="15.75">
      <c r="A41" s="82">
        <v>2021</v>
      </c>
      <c r="B41" s="48">
        <v>5000</v>
      </c>
      <c r="C41" s="77"/>
      <c r="D41" s="57" t="s">
        <v>23</v>
      </c>
      <c r="E41" s="252">
        <v>20</v>
      </c>
      <c r="F41" s="51"/>
      <c r="G41" s="19" t="s">
        <v>72</v>
      </c>
      <c r="H41" s="13"/>
      <c r="I41" s="13"/>
      <c r="J41" s="35"/>
      <c r="K41" s="43"/>
      <c r="L41" s="13"/>
      <c r="M41" s="13"/>
      <c r="N41" s="116"/>
      <c r="O41" s="116">
        <v>26143.08</v>
      </c>
      <c r="P41" s="35"/>
      <c r="Q41" s="140">
        <v>7412.45</v>
      </c>
      <c r="R41" s="139"/>
      <c r="S41" s="13"/>
      <c r="T41" s="139">
        <v>5500</v>
      </c>
      <c r="U41" s="140">
        <f>(4167.68+94.72)+1365.2</f>
        <v>5627.6</v>
      </c>
      <c r="V41" s="35">
        <v>700</v>
      </c>
      <c r="W41" s="13">
        <v>0</v>
      </c>
      <c r="X41" s="189">
        <v>40356.5</v>
      </c>
      <c r="Y41" s="83"/>
      <c r="Z41" s="13">
        <v>3764.77</v>
      </c>
      <c r="AA41" s="83"/>
      <c r="AB41" s="35"/>
      <c r="AC41" s="235">
        <v>2022</v>
      </c>
      <c r="AD41" s="35">
        <v>36000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>
        <f>(AD41)*(1+$E$85)^$E41</f>
        <v>58990.19185045424</v>
      </c>
    </row>
    <row r="42" spans="1:50" ht="15.75">
      <c r="A42" s="82"/>
      <c r="B42" s="48"/>
      <c r="C42" s="77"/>
      <c r="D42" s="57"/>
      <c r="E42" s="252"/>
      <c r="F42" s="51"/>
      <c r="G42" s="19"/>
      <c r="H42" s="13"/>
      <c r="I42" s="13"/>
      <c r="J42" s="35"/>
      <c r="K42" s="43"/>
      <c r="L42" s="13"/>
      <c r="M42" s="13"/>
      <c r="N42" s="116"/>
      <c r="O42" s="116"/>
      <c r="P42" s="35"/>
      <c r="Q42" s="140"/>
      <c r="R42" s="139"/>
      <c r="S42" s="13"/>
      <c r="T42" s="139"/>
      <c r="U42" s="140"/>
      <c r="V42" s="35"/>
      <c r="W42" s="13"/>
      <c r="X42" s="189"/>
      <c r="Y42" s="83"/>
      <c r="Z42" s="13"/>
      <c r="AA42" s="83"/>
      <c r="AB42" s="35"/>
      <c r="AC42" s="2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0" ht="15.75">
      <c r="A43" s="92"/>
      <c r="B43" s="93"/>
      <c r="C43" s="94"/>
      <c r="D43" s="95"/>
      <c r="E43" s="254"/>
      <c r="F43" s="96"/>
      <c r="G43" s="106" t="s">
        <v>65</v>
      </c>
      <c r="H43" s="97"/>
      <c r="I43" s="97"/>
      <c r="J43" s="98"/>
      <c r="K43" s="99"/>
      <c r="L43" s="97"/>
      <c r="M43" s="97"/>
      <c r="N43" s="121"/>
      <c r="O43" s="97"/>
      <c r="P43" s="98"/>
      <c r="Q43" s="142"/>
      <c r="R43" s="142"/>
      <c r="S43" s="97"/>
      <c r="T43" s="142"/>
      <c r="U43" s="142"/>
      <c r="V43" s="98"/>
      <c r="W43" s="97"/>
      <c r="X43" s="194"/>
      <c r="Y43" s="100"/>
      <c r="Z43" s="97"/>
      <c r="AA43" s="100"/>
      <c r="AB43" s="98"/>
      <c r="AC43" s="239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</row>
    <row r="44" spans="1:50" ht="15.75">
      <c r="A44" s="82"/>
      <c r="B44" s="48"/>
      <c r="C44" s="77"/>
      <c r="D44" s="57"/>
      <c r="E44" s="252"/>
      <c r="F44" s="51"/>
      <c r="G44" s="90" t="s">
        <v>29</v>
      </c>
      <c r="H44" s="13"/>
      <c r="I44" s="13"/>
      <c r="J44" s="35"/>
      <c r="K44" s="43"/>
      <c r="L44" s="13"/>
      <c r="M44" s="13"/>
      <c r="N44" s="116"/>
      <c r="O44" s="13"/>
      <c r="P44" s="35"/>
      <c r="Q44" s="139"/>
      <c r="R44" s="139"/>
      <c r="S44" s="13"/>
      <c r="T44" s="139"/>
      <c r="U44" s="139">
        <v>578</v>
      </c>
      <c r="V44" s="35">
        <v>900</v>
      </c>
      <c r="W44" s="13">
        <v>0</v>
      </c>
      <c r="X44" s="189">
        <v>1738.44</v>
      </c>
      <c r="Y44" s="83"/>
      <c r="Z44" s="13">
        <v>450</v>
      </c>
      <c r="AA44" s="83"/>
      <c r="AB44" s="35"/>
      <c r="AC44" s="235"/>
      <c r="AD44" s="35">
        <v>900</v>
      </c>
      <c r="AE44" s="35">
        <f>(AD44)*(1+$E$85)^1</f>
        <v>922.4999999999999</v>
      </c>
      <c r="AF44" s="35">
        <f aca="true" t="shared" si="9" ref="AF44:AX44">(AE44)*(1+$E$85)^1</f>
        <v>945.5624999999998</v>
      </c>
      <c r="AG44" s="35">
        <f t="shared" si="9"/>
        <v>969.2015624999997</v>
      </c>
      <c r="AH44" s="35">
        <f t="shared" si="9"/>
        <v>993.4316015624996</v>
      </c>
      <c r="AI44" s="35">
        <f t="shared" si="9"/>
        <v>1018.267391601562</v>
      </c>
      <c r="AJ44" s="35">
        <f t="shared" si="9"/>
        <v>1043.724076391601</v>
      </c>
      <c r="AK44" s="35">
        <f t="shared" si="9"/>
        <v>1069.817178301391</v>
      </c>
      <c r="AL44" s="35">
        <f t="shared" si="9"/>
        <v>1096.5626077589259</v>
      </c>
      <c r="AM44" s="35">
        <f t="shared" si="9"/>
        <v>1123.976672952899</v>
      </c>
      <c r="AN44" s="35">
        <f t="shared" si="9"/>
        <v>1152.0760897767213</v>
      </c>
      <c r="AO44" s="35">
        <f t="shared" si="9"/>
        <v>1180.8779920211393</v>
      </c>
      <c r="AP44" s="35">
        <f t="shared" si="9"/>
        <v>1210.3999418216677</v>
      </c>
      <c r="AQ44" s="35">
        <f t="shared" si="9"/>
        <v>1240.6599403672092</v>
      </c>
      <c r="AR44" s="35">
        <f t="shared" si="9"/>
        <v>1271.6764388763893</v>
      </c>
      <c r="AS44" s="35">
        <f t="shared" si="9"/>
        <v>1303.4683498482989</v>
      </c>
      <c r="AT44" s="35">
        <f t="shared" si="9"/>
        <v>1336.0550585945061</v>
      </c>
      <c r="AU44" s="35">
        <f t="shared" si="9"/>
        <v>1369.4564350593687</v>
      </c>
      <c r="AV44" s="35">
        <f t="shared" si="9"/>
        <v>1403.6928459358528</v>
      </c>
      <c r="AW44" s="35">
        <f t="shared" si="9"/>
        <v>1438.785167084249</v>
      </c>
      <c r="AX44" s="35">
        <f t="shared" si="9"/>
        <v>1474.754796261355</v>
      </c>
    </row>
    <row r="45" spans="1:50" ht="15" hidden="1">
      <c r="A45" s="84">
        <v>2007</v>
      </c>
      <c r="B45" s="38">
        <v>2970</v>
      </c>
      <c r="C45" s="78"/>
      <c r="D45" s="59" t="s">
        <v>23</v>
      </c>
      <c r="E45" s="255"/>
      <c r="F45" s="52"/>
      <c r="G45" s="20" t="s">
        <v>40</v>
      </c>
      <c r="H45" s="39"/>
      <c r="I45" s="39"/>
      <c r="J45" s="40"/>
      <c r="K45" s="67"/>
      <c r="L45" s="39"/>
      <c r="M45" s="39"/>
      <c r="N45" s="118">
        <v>2970</v>
      </c>
      <c r="O45" s="39"/>
      <c r="P45" s="40"/>
      <c r="Q45" s="143"/>
      <c r="R45" s="143"/>
      <c r="S45" s="39"/>
      <c r="T45" s="143"/>
      <c r="U45" s="143"/>
      <c r="V45" s="40"/>
      <c r="W45" s="39"/>
      <c r="X45" s="192"/>
      <c r="Y45" s="85"/>
      <c r="Z45" s="39"/>
      <c r="AA45" s="85"/>
      <c r="AB45" s="40"/>
      <c r="AC45" s="238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</row>
    <row r="46" spans="1:50" ht="15.75">
      <c r="A46" s="82"/>
      <c r="B46" s="48"/>
      <c r="C46" s="77"/>
      <c r="D46" s="57"/>
      <c r="E46" s="252"/>
      <c r="F46" s="51"/>
      <c r="G46" s="19"/>
      <c r="H46" s="13"/>
      <c r="I46" s="13"/>
      <c r="J46" s="35"/>
      <c r="K46" s="43"/>
      <c r="L46" s="13"/>
      <c r="M46" s="13"/>
      <c r="N46" s="116"/>
      <c r="O46" s="13"/>
      <c r="P46" s="35"/>
      <c r="Q46" s="139"/>
      <c r="R46" s="139"/>
      <c r="S46" s="13"/>
      <c r="T46" s="139"/>
      <c r="U46" s="139"/>
      <c r="V46" s="35"/>
      <c r="W46" s="13"/>
      <c r="X46" s="189"/>
      <c r="Y46" s="83"/>
      <c r="Z46" s="13"/>
      <c r="AA46" s="83"/>
      <c r="AB46" s="35"/>
      <c r="AC46" s="2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</row>
    <row r="47" spans="1:50" ht="15.75">
      <c r="A47" s="92"/>
      <c r="B47" s="93"/>
      <c r="C47" s="94"/>
      <c r="D47" s="95"/>
      <c r="E47" s="253"/>
      <c r="F47" s="96"/>
      <c r="G47" s="105" t="s">
        <v>66</v>
      </c>
      <c r="H47" s="97"/>
      <c r="I47" s="97"/>
      <c r="J47" s="98"/>
      <c r="K47" s="99"/>
      <c r="L47" s="97"/>
      <c r="M47" s="97"/>
      <c r="N47" s="121"/>
      <c r="O47" s="97"/>
      <c r="P47" s="98"/>
      <c r="Q47" s="142"/>
      <c r="R47" s="142"/>
      <c r="S47" s="97"/>
      <c r="T47" s="142"/>
      <c r="U47" s="142"/>
      <c r="V47" s="98"/>
      <c r="W47" s="97"/>
      <c r="X47" s="194"/>
      <c r="Y47" s="100"/>
      <c r="Z47" s="97"/>
      <c r="AA47" s="100"/>
      <c r="AB47" s="98"/>
      <c r="AC47" s="239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</row>
    <row r="48" spans="1:50" ht="15.75">
      <c r="A48" s="86">
        <v>2015</v>
      </c>
      <c r="B48" s="61">
        <v>15000</v>
      </c>
      <c r="C48" s="79"/>
      <c r="D48" s="57" t="s">
        <v>23</v>
      </c>
      <c r="E48" s="250">
        <v>8</v>
      </c>
      <c r="F48" s="51"/>
      <c r="G48" s="19" t="s">
        <v>20</v>
      </c>
      <c r="H48" s="13"/>
      <c r="I48" s="13"/>
      <c r="J48" s="35"/>
      <c r="K48" s="43"/>
      <c r="L48" s="13" t="s">
        <v>0</v>
      </c>
      <c r="M48" s="13"/>
      <c r="N48" s="116">
        <v>12511</v>
      </c>
      <c r="O48" s="13"/>
      <c r="P48" s="35"/>
      <c r="Q48" s="140"/>
      <c r="R48" s="139"/>
      <c r="S48" s="140">
        <v>11361</v>
      </c>
      <c r="T48" s="139"/>
      <c r="U48" s="180"/>
      <c r="V48" s="35"/>
      <c r="W48" s="13">
        <v>13100</v>
      </c>
      <c r="X48" s="189"/>
      <c r="Y48" s="83"/>
      <c r="Z48" s="13"/>
      <c r="AA48" s="13"/>
      <c r="AB48" s="204">
        <v>0</v>
      </c>
      <c r="AC48" s="243">
        <v>2015</v>
      </c>
      <c r="AD48" s="35"/>
      <c r="AE48" s="35">
        <f>(B48)*(1+$E$85)^8</f>
        <v>18276.043462648766</v>
      </c>
      <c r="AF48" s="35"/>
      <c r="AG48" s="35"/>
      <c r="AH48" s="35"/>
      <c r="AI48" s="35"/>
      <c r="AJ48" s="35"/>
      <c r="AK48" s="35"/>
      <c r="AL48" s="35"/>
      <c r="AM48" s="35">
        <f>+$B48*((1+$E$85)^(AM$7-$A48))</f>
        <v>22267.58430990845</v>
      </c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</row>
    <row r="49" spans="1:50" ht="15.75">
      <c r="A49" s="86">
        <v>2000</v>
      </c>
      <c r="B49" s="61">
        <v>65000</v>
      </c>
      <c r="C49" s="79"/>
      <c r="D49" s="57" t="s">
        <v>17</v>
      </c>
      <c r="E49" s="250">
        <v>35</v>
      </c>
      <c r="F49" s="51"/>
      <c r="G49" s="159" t="s">
        <v>21</v>
      </c>
      <c r="H49" s="13"/>
      <c r="I49" s="13"/>
      <c r="J49" s="35"/>
      <c r="K49" s="43"/>
      <c r="L49" s="13"/>
      <c r="M49" s="13"/>
      <c r="N49" s="116"/>
      <c r="O49" s="13"/>
      <c r="P49" s="35"/>
      <c r="Q49" s="139"/>
      <c r="R49" s="139"/>
      <c r="S49" s="140"/>
      <c r="T49" s="139"/>
      <c r="U49" s="139"/>
      <c r="V49" s="35"/>
      <c r="W49" s="13"/>
      <c r="X49" s="199"/>
      <c r="Y49" s="83"/>
      <c r="Z49" s="13"/>
      <c r="AA49" s="76"/>
      <c r="AB49" s="35"/>
      <c r="AC49" s="243">
        <v>1999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>
        <v>300000</v>
      </c>
      <c r="AR49" s="35"/>
      <c r="AS49" s="35"/>
      <c r="AT49" s="35"/>
      <c r="AU49" s="35"/>
      <c r="AV49" s="35"/>
      <c r="AW49" s="35"/>
      <c r="AX49" s="35"/>
    </row>
    <row r="50" spans="1:50" ht="15.75">
      <c r="A50" s="86">
        <v>2020</v>
      </c>
      <c r="B50" s="61">
        <v>3500</v>
      </c>
      <c r="C50" s="79"/>
      <c r="D50" s="57" t="s">
        <v>17</v>
      </c>
      <c r="E50" s="250">
        <v>1</v>
      </c>
      <c r="F50" s="51"/>
      <c r="G50" s="19" t="s">
        <v>54</v>
      </c>
      <c r="H50" s="13"/>
      <c r="I50" s="13"/>
      <c r="J50" s="35"/>
      <c r="K50" s="43"/>
      <c r="L50" s="13"/>
      <c r="M50" s="13"/>
      <c r="N50" s="116"/>
      <c r="O50" s="13"/>
      <c r="P50" s="35"/>
      <c r="Q50" s="139"/>
      <c r="R50" s="139">
        <v>3607</v>
      </c>
      <c r="S50" s="140"/>
      <c r="T50" s="139">
        <v>1622</v>
      </c>
      <c r="U50" s="140">
        <v>1680</v>
      </c>
      <c r="V50" s="35">
        <v>2500</v>
      </c>
      <c r="W50" s="13">
        <v>0</v>
      </c>
      <c r="X50" s="189">
        <v>0</v>
      </c>
      <c r="Y50" s="13">
        <v>2000</v>
      </c>
      <c r="Z50" s="13">
        <v>933</v>
      </c>
      <c r="AA50" s="83">
        <v>2000</v>
      </c>
      <c r="AB50" s="205">
        <v>0</v>
      </c>
      <c r="AC50" s="244">
        <v>2021</v>
      </c>
      <c r="AD50" s="13">
        <v>3500</v>
      </c>
      <c r="AE50" s="35">
        <f aca="true" t="shared" si="10" ref="AE50:AP50">(AD50)*(1+$E$85)^1</f>
        <v>3587.4999999999995</v>
      </c>
      <c r="AF50" s="35">
        <f t="shared" si="10"/>
        <v>3677.187499999999</v>
      </c>
      <c r="AG50" s="35">
        <f t="shared" si="10"/>
        <v>3769.1171874999986</v>
      </c>
      <c r="AH50" s="35">
        <f t="shared" si="10"/>
        <v>3863.345117187498</v>
      </c>
      <c r="AI50" s="35">
        <f t="shared" si="10"/>
        <v>3959.9287451171854</v>
      </c>
      <c r="AJ50" s="35">
        <f t="shared" si="10"/>
        <v>4058.926963745115</v>
      </c>
      <c r="AK50" s="35">
        <f t="shared" si="10"/>
        <v>4160.400137838742</v>
      </c>
      <c r="AL50" s="35">
        <f t="shared" si="10"/>
        <v>4264.41014128471</v>
      </c>
      <c r="AM50" s="35">
        <f t="shared" si="10"/>
        <v>4371.020394816827</v>
      </c>
      <c r="AN50" s="35">
        <f t="shared" si="10"/>
        <v>4480.2959046872475</v>
      </c>
      <c r="AO50" s="35">
        <f t="shared" si="10"/>
        <v>4592.303302304428</v>
      </c>
      <c r="AP50" s="35">
        <f t="shared" si="10"/>
        <v>4707.110884862039</v>
      </c>
      <c r="AQ50" s="35"/>
      <c r="AR50" s="35">
        <f>(AP50)*(1+$E$85)^1</f>
        <v>4824.788656983589</v>
      </c>
      <c r="AS50" s="35">
        <f aca="true" t="shared" si="11" ref="AS50:AX50">(AR50)*(1+$E$85)^1</f>
        <v>4945.408373408179</v>
      </c>
      <c r="AT50" s="35">
        <f t="shared" si="11"/>
        <v>5069.043582743383</v>
      </c>
      <c r="AU50" s="35">
        <f t="shared" si="11"/>
        <v>5195.769672311967</v>
      </c>
      <c r="AV50" s="35">
        <f t="shared" si="11"/>
        <v>5325.663914119766</v>
      </c>
      <c r="AW50" s="35">
        <f t="shared" si="11"/>
        <v>5458.80551197276</v>
      </c>
      <c r="AX50" s="35">
        <f t="shared" si="11"/>
        <v>5595.275649772078</v>
      </c>
    </row>
    <row r="51" spans="1:50" ht="15.75">
      <c r="A51" s="86">
        <v>2020</v>
      </c>
      <c r="B51" s="61">
        <v>2000</v>
      </c>
      <c r="C51" s="79"/>
      <c r="D51" s="57" t="s">
        <v>23</v>
      </c>
      <c r="E51" s="250">
        <v>4</v>
      </c>
      <c r="F51" s="51"/>
      <c r="G51" s="19" t="s">
        <v>68</v>
      </c>
      <c r="H51" s="13"/>
      <c r="I51" s="13"/>
      <c r="J51" s="35"/>
      <c r="K51" s="43"/>
      <c r="L51" s="13"/>
      <c r="M51" s="13"/>
      <c r="N51" s="116"/>
      <c r="O51" s="13"/>
      <c r="P51" s="35"/>
      <c r="Q51" s="139"/>
      <c r="R51" s="139"/>
      <c r="S51" s="140">
        <v>1220</v>
      </c>
      <c r="T51" s="139"/>
      <c r="U51" s="180"/>
      <c r="V51" s="35"/>
      <c r="W51" s="13">
        <v>1667</v>
      </c>
      <c r="X51" s="189"/>
      <c r="Y51" s="83"/>
      <c r="Z51" s="13"/>
      <c r="AA51" s="83"/>
      <c r="AB51" s="204">
        <v>0</v>
      </c>
      <c r="AC51" s="243">
        <v>2020</v>
      </c>
      <c r="AD51" s="35"/>
      <c r="AE51" s="35">
        <f>(B51)*(1+$E$85)^4</f>
        <v>2207.6257812499994</v>
      </c>
      <c r="AF51" s="35"/>
      <c r="AG51" s="35"/>
      <c r="AH51" s="35"/>
      <c r="AI51" s="35">
        <f>(AE51)*(1+$E$85)^4</f>
        <v>2436.8057950198354</v>
      </c>
      <c r="AJ51" s="35"/>
      <c r="AK51" s="35"/>
      <c r="AL51" s="35"/>
      <c r="AM51" s="35">
        <f>(AI51)*(1+$E$85)^4</f>
        <v>2689.7776484925953</v>
      </c>
      <c r="AN51" s="35"/>
      <c r="AO51" s="35"/>
      <c r="AP51" s="35"/>
      <c r="AQ51" s="35">
        <f>(AM51)*(1+$E$85)^4</f>
        <v>2969.0112413211264</v>
      </c>
      <c r="AR51" s="35"/>
      <c r="AS51" s="35"/>
      <c r="AT51" s="35"/>
      <c r="AU51" s="35">
        <f>(AQ51)*(1+$E$85)^4</f>
        <v>3277.232880580791</v>
      </c>
      <c r="AV51" s="35"/>
      <c r="AW51" s="35"/>
      <c r="AX51" s="35"/>
    </row>
    <row r="52" spans="1:50" ht="15.75">
      <c r="A52" s="87"/>
      <c r="B52" s="75"/>
      <c r="C52" s="80"/>
      <c r="D52" s="59"/>
      <c r="E52" s="251"/>
      <c r="F52" s="52"/>
      <c r="G52" s="20"/>
      <c r="H52" s="39"/>
      <c r="I52" s="39"/>
      <c r="J52" s="40"/>
      <c r="K52" s="67"/>
      <c r="L52" s="39"/>
      <c r="M52" s="39"/>
      <c r="N52" s="122"/>
      <c r="O52" s="39"/>
      <c r="P52" s="40"/>
      <c r="Q52" s="143"/>
      <c r="R52" s="143"/>
      <c r="S52" s="143"/>
      <c r="T52" s="143"/>
      <c r="U52" s="143"/>
      <c r="V52" s="40"/>
      <c r="W52" s="39"/>
      <c r="X52" s="192"/>
      <c r="Y52" s="85"/>
      <c r="Z52" s="39"/>
      <c r="AA52" s="85"/>
      <c r="AB52" s="40"/>
      <c r="AC52" s="238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</row>
    <row r="53" spans="1:50" ht="15.75">
      <c r="A53" s="86"/>
      <c r="B53" s="61"/>
      <c r="C53" s="79"/>
      <c r="D53" s="57"/>
      <c r="E53" s="250"/>
      <c r="F53" s="51"/>
      <c r="G53" s="103" t="s">
        <v>57</v>
      </c>
      <c r="H53" s="13"/>
      <c r="I53" s="13"/>
      <c r="J53" s="35"/>
      <c r="K53" s="43"/>
      <c r="L53" s="13"/>
      <c r="M53" s="13"/>
      <c r="N53" s="116"/>
      <c r="O53" s="13"/>
      <c r="P53" s="35"/>
      <c r="Q53" s="140"/>
      <c r="R53" s="139"/>
      <c r="S53" s="139"/>
      <c r="T53" s="139"/>
      <c r="U53" s="139"/>
      <c r="V53" s="35"/>
      <c r="W53" s="13">
        <v>259.35</v>
      </c>
      <c r="X53" s="189">
        <v>2343.62</v>
      </c>
      <c r="Y53" s="83"/>
      <c r="Z53" s="13">
        <v>2287.5</v>
      </c>
      <c r="AA53" s="83"/>
      <c r="AB53" s="35"/>
      <c r="AC53" s="2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</row>
    <row r="54" spans="1:50" ht="15.75">
      <c r="A54" s="86">
        <v>2020</v>
      </c>
      <c r="B54" s="61">
        <v>2000</v>
      </c>
      <c r="C54" s="79"/>
      <c r="D54" s="57" t="s">
        <v>17</v>
      </c>
      <c r="E54" s="250">
        <v>10</v>
      </c>
      <c r="F54" s="51"/>
      <c r="G54" s="19" t="s">
        <v>33</v>
      </c>
      <c r="H54" s="13"/>
      <c r="I54" s="9"/>
      <c r="J54" s="35"/>
      <c r="K54" s="43"/>
      <c r="L54" s="13" t="s">
        <v>0</v>
      </c>
      <c r="M54" s="13"/>
      <c r="N54" s="116" t="s">
        <v>0</v>
      </c>
      <c r="O54" s="13" t="s">
        <v>0</v>
      </c>
      <c r="P54" s="35"/>
      <c r="Q54" s="140"/>
      <c r="R54" s="139"/>
      <c r="S54" s="139"/>
      <c r="T54" s="139"/>
      <c r="U54" s="139"/>
      <c r="V54" s="185">
        <v>1200</v>
      </c>
      <c r="W54" s="13"/>
      <c r="X54" s="189"/>
      <c r="Y54" s="83"/>
      <c r="Z54" s="13"/>
      <c r="AA54" s="13">
        <f>+$B54*((1+$E$85)^(AA$7-$A54))</f>
        <v>2000</v>
      </c>
      <c r="AB54" s="35"/>
      <c r="AC54" s="235">
        <v>2020</v>
      </c>
      <c r="AD54" s="35"/>
      <c r="AE54" s="35"/>
      <c r="AF54" s="35"/>
      <c r="AG54" s="13"/>
      <c r="AH54" s="35"/>
      <c r="AI54" s="35"/>
      <c r="AJ54" s="35"/>
      <c r="AK54" s="35"/>
      <c r="AL54" s="35">
        <f>(B54)*(1+$E$85)^10</f>
        <v>2560.169088392714</v>
      </c>
      <c r="AM54" s="35"/>
      <c r="AN54" s="35"/>
      <c r="AO54" s="35"/>
      <c r="AP54" s="35"/>
      <c r="AQ54" s="13"/>
      <c r="AR54" s="35"/>
      <c r="AS54" s="35"/>
      <c r="AT54" s="35"/>
      <c r="AU54" s="35"/>
      <c r="AV54" s="35">
        <f>(AL54)*(1+$E$85)^10</f>
        <v>3277.23288058079</v>
      </c>
      <c r="AW54" s="35"/>
      <c r="AX54" s="35"/>
    </row>
    <row r="55" spans="1:50" ht="15.75">
      <c r="A55" s="86">
        <v>2003</v>
      </c>
      <c r="B55" s="61">
        <v>2000</v>
      </c>
      <c r="C55" s="79"/>
      <c r="D55" s="57" t="s">
        <v>17</v>
      </c>
      <c r="E55" s="250">
        <v>15</v>
      </c>
      <c r="F55" s="51"/>
      <c r="G55" s="19" t="s">
        <v>32</v>
      </c>
      <c r="H55" s="13"/>
      <c r="I55" s="9"/>
      <c r="J55" s="35"/>
      <c r="K55" s="43"/>
      <c r="L55" s="13"/>
      <c r="M55" s="13"/>
      <c r="N55" s="116"/>
      <c r="O55" s="13"/>
      <c r="P55" s="35"/>
      <c r="Q55" s="140">
        <v>4006.6</v>
      </c>
      <c r="R55" s="139"/>
      <c r="S55" s="139"/>
      <c r="T55" s="139"/>
      <c r="U55" s="139"/>
      <c r="V55" s="35"/>
      <c r="W55" s="13"/>
      <c r="X55" s="189"/>
      <c r="Y55" s="83"/>
      <c r="Z55" s="13"/>
      <c r="AA55" s="83"/>
      <c r="AB55" s="35"/>
      <c r="AC55" s="235">
        <v>2008</v>
      </c>
      <c r="AD55" s="35"/>
      <c r="AE55" s="13">
        <f>+$B55*((1+$E$85)^(AE$7-$A55))</f>
        <v>3277.232880580791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13">
        <f>+$AE55*((1+$E$85)^($E55))</f>
        <v>4746.410372132481</v>
      </c>
      <c r="AU55" s="35"/>
      <c r="AV55" s="35"/>
      <c r="AW55" s="35"/>
      <c r="AX55" s="35"/>
    </row>
    <row r="56" spans="1:50" ht="15.75">
      <c r="A56" s="86">
        <v>2006</v>
      </c>
      <c r="B56" s="61">
        <v>2588</v>
      </c>
      <c r="C56" s="79"/>
      <c r="D56" s="57" t="s">
        <v>23</v>
      </c>
      <c r="E56" s="250">
        <v>12</v>
      </c>
      <c r="F56" s="51"/>
      <c r="G56" s="19" t="s">
        <v>31</v>
      </c>
      <c r="H56" s="13"/>
      <c r="I56" s="9"/>
      <c r="J56" s="35"/>
      <c r="K56" s="43"/>
      <c r="L56" s="13"/>
      <c r="M56" s="13">
        <v>2587.72</v>
      </c>
      <c r="N56" s="116"/>
      <c r="O56" s="13"/>
      <c r="P56" s="35"/>
      <c r="Q56" s="140">
        <f>(2007.43+729.99)</f>
        <v>2737.42</v>
      </c>
      <c r="R56" s="139"/>
      <c r="S56" s="139"/>
      <c r="T56" s="139"/>
      <c r="U56" s="139"/>
      <c r="V56" s="35"/>
      <c r="W56" s="13"/>
      <c r="X56" s="189"/>
      <c r="Y56" s="83"/>
      <c r="Z56" s="13"/>
      <c r="AA56" s="13">
        <f>+$B56*((1+$E$85)^(AA$7-$A56))</f>
        <v>3656.7762486801066</v>
      </c>
      <c r="AB56" s="35"/>
      <c r="AC56" s="235"/>
      <c r="AD56" s="35">
        <v>600</v>
      </c>
      <c r="AE56" s="35"/>
      <c r="AF56" s="35"/>
      <c r="AG56" s="35"/>
      <c r="AH56" s="35"/>
      <c r="AI56" s="35"/>
      <c r="AJ56" s="35"/>
      <c r="AK56" s="35"/>
      <c r="AL56" s="13">
        <f>+$B56*((1+$E$85)^(AL$7-$A56))</f>
        <v>4680.9827575197405</v>
      </c>
      <c r="AM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>
        <f>+$B56*((1+$E$85)^(AX$7-$A56))</f>
        <v>6295.401397077916</v>
      </c>
    </row>
    <row r="57" spans="1:50" ht="15.75">
      <c r="A57" s="86">
        <v>2022</v>
      </c>
      <c r="B57" s="61">
        <v>1500</v>
      </c>
      <c r="C57" s="79"/>
      <c r="D57" s="57"/>
      <c r="E57" s="250">
        <v>10</v>
      </c>
      <c r="F57" s="51"/>
      <c r="G57" s="19" t="s">
        <v>74</v>
      </c>
      <c r="H57" s="13"/>
      <c r="I57" s="9"/>
      <c r="J57" s="35"/>
      <c r="K57" s="43"/>
      <c r="L57" s="13"/>
      <c r="M57" s="13"/>
      <c r="N57" s="116"/>
      <c r="O57" s="13"/>
      <c r="P57" s="35"/>
      <c r="Q57" s="140">
        <f>(2026+333.71+10)</f>
        <v>2369.71</v>
      </c>
      <c r="R57" s="139"/>
      <c r="S57" s="139"/>
      <c r="T57" s="139"/>
      <c r="U57" s="139"/>
      <c r="V57" s="35"/>
      <c r="W57" s="13"/>
      <c r="X57" s="189"/>
      <c r="Y57" s="83"/>
      <c r="Z57" s="13"/>
      <c r="AA57" s="83"/>
      <c r="AB57" s="35"/>
      <c r="AC57" s="235">
        <v>2022</v>
      </c>
      <c r="AD57" s="35">
        <v>1500</v>
      </c>
      <c r="AE57" s="35"/>
      <c r="AF57" s="35"/>
      <c r="AG57" s="35"/>
      <c r="AH57" s="35"/>
      <c r="AI57" s="35"/>
      <c r="AJ57" s="35"/>
      <c r="AK57" s="35"/>
      <c r="AL57" s="35">
        <f>(B57)*(1+$E$85)^10</f>
        <v>1920.1268162945357</v>
      </c>
      <c r="AM57" s="35"/>
      <c r="AN57" s="35"/>
      <c r="AO57" s="35"/>
      <c r="AP57" s="35"/>
      <c r="AQ57" s="35"/>
      <c r="AR57" s="35"/>
      <c r="AS57" s="35"/>
      <c r="AT57" s="35"/>
      <c r="AU57" s="35"/>
      <c r="AV57" s="35">
        <f>(AL57)*(1+$E$85)^10</f>
        <v>2457.924660435593</v>
      </c>
      <c r="AW57" s="35"/>
      <c r="AX57" s="35"/>
    </row>
    <row r="58" spans="1:50" ht="15.75">
      <c r="A58" s="87"/>
      <c r="B58" s="38"/>
      <c r="C58" s="78"/>
      <c r="D58" s="60"/>
      <c r="E58" s="251"/>
      <c r="F58" s="56"/>
      <c r="G58" s="18"/>
      <c r="H58" s="16"/>
      <c r="I58" s="16"/>
      <c r="J58" s="44"/>
      <c r="K58" s="66"/>
      <c r="L58" s="16"/>
      <c r="M58" s="16"/>
      <c r="N58" s="123"/>
      <c r="O58" s="16"/>
      <c r="P58" s="44"/>
      <c r="Q58" s="144"/>
      <c r="R58" s="144"/>
      <c r="S58" s="144"/>
      <c r="T58" s="144"/>
      <c r="U58" s="144"/>
      <c r="V58" s="44"/>
      <c r="W58" s="16"/>
      <c r="X58" s="195"/>
      <c r="Y58" s="16"/>
      <c r="Z58" s="16"/>
      <c r="AA58" s="16"/>
      <c r="AB58" s="44"/>
      <c r="AC58" s="236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</row>
    <row r="59" spans="1:50" ht="15.75">
      <c r="A59" s="86"/>
      <c r="B59" s="48"/>
      <c r="C59" s="77"/>
      <c r="D59" s="58"/>
      <c r="E59" s="250"/>
      <c r="F59" s="12"/>
      <c r="G59" s="107" t="s">
        <v>58</v>
      </c>
      <c r="H59" s="14"/>
      <c r="I59" s="14"/>
      <c r="J59" s="41"/>
      <c r="K59" s="65"/>
      <c r="L59" s="14"/>
      <c r="M59" s="14"/>
      <c r="N59" s="115"/>
      <c r="O59" s="14"/>
      <c r="P59" s="41"/>
      <c r="Q59" s="138"/>
      <c r="R59" s="138"/>
      <c r="S59" s="138"/>
      <c r="T59" s="138"/>
      <c r="U59" s="181"/>
      <c r="V59" s="41"/>
      <c r="W59" s="13">
        <v>5439.62</v>
      </c>
      <c r="X59" s="191"/>
      <c r="Y59" s="14"/>
      <c r="Z59" s="13">
        <v>2503</v>
      </c>
      <c r="AA59" s="14"/>
      <c r="AB59" s="41"/>
      <c r="AC59" s="230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 ht="15.75">
      <c r="A60" s="86">
        <v>2020</v>
      </c>
      <c r="B60" s="274"/>
      <c r="C60" s="77"/>
      <c r="D60" s="58"/>
      <c r="E60" s="250">
        <v>10</v>
      </c>
      <c r="F60" s="12"/>
      <c r="G60" s="19" t="s">
        <v>56</v>
      </c>
      <c r="H60" s="14"/>
      <c r="I60" s="14"/>
      <c r="J60" s="41"/>
      <c r="K60" s="65"/>
      <c r="L60" s="14"/>
      <c r="M60" s="14"/>
      <c r="N60" s="115"/>
      <c r="O60" s="14"/>
      <c r="P60" s="41"/>
      <c r="Q60" s="138"/>
      <c r="R60" s="136">
        <v>1755</v>
      </c>
      <c r="S60" s="140">
        <f>(16390*2)</f>
        <v>32780</v>
      </c>
      <c r="T60" s="140">
        <v>10758.06</v>
      </c>
      <c r="U60" s="138"/>
      <c r="V60" s="41"/>
      <c r="W60" s="14"/>
      <c r="X60" s="191"/>
      <c r="Y60" s="14"/>
      <c r="Z60" s="14"/>
      <c r="AA60" s="14"/>
      <c r="AB60" s="41"/>
      <c r="AC60" s="275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:50" ht="15.75">
      <c r="A61" s="278"/>
      <c r="B61" s="274">
        <v>1500</v>
      </c>
      <c r="C61" s="77"/>
      <c r="D61" s="58"/>
      <c r="E61" s="250">
        <v>10</v>
      </c>
      <c r="F61" s="12"/>
      <c r="G61" s="261" t="s">
        <v>69</v>
      </c>
      <c r="H61" s="14"/>
      <c r="I61" s="14"/>
      <c r="J61" s="41"/>
      <c r="K61" s="65"/>
      <c r="L61" s="14"/>
      <c r="M61" s="14"/>
      <c r="N61" s="115"/>
      <c r="O61" s="14"/>
      <c r="P61" s="41"/>
      <c r="Q61" s="138"/>
      <c r="R61" s="138"/>
      <c r="S61" s="14"/>
      <c r="T61" s="138"/>
      <c r="U61" s="262">
        <v>1463.81</v>
      </c>
      <c r="V61" s="185">
        <v>1279.13</v>
      </c>
      <c r="W61" s="14"/>
      <c r="X61" s="200">
        <v>1620</v>
      </c>
      <c r="Y61" s="14"/>
      <c r="Z61" s="14"/>
      <c r="AA61" s="14"/>
      <c r="AB61" s="41"/>
      <c r="AC61" s="275"/>
      <c r="AD61" s="120">
        <v>1500</v>
      </c>
      <c r="AE61" s="41"/>
      <c r="AF61" s="35">
        <f>(AD61)*(1+$E$85)^2</f>
        <v>1575.9374999999998</v>
      </c>
      <c r="AG61" s="41"/>
      <c r="AH61" s="35">
        <f>(AF61)*(1+$E$85)^2</f>
        <v>1655.7193359374996</v>
      </c>
      <c r="AI61" s="41"/>
      <c r="AJ61" s="35">
        <f>(AH61)*(1+$E$85)^2</f>
        <v>1739.5401273193354</v>
      </c>
      <c r="AK61" s="41"/>
      <c r="AL61" s="35">
        <f>(AJ61)*(1+$E$85)^2</f>
        <v>1827.6043462648765</v>
      </c>
      <c r="AM61" s="41"/>
      <c r="AN61" s="35">
        <f>(AL61)*(1+$E$85)^2</f>
        <v>1920.1268162945357</v>
      </c>
      <c r="AO61" s="41"/>
      <c r="AP61" s="35">
        <f>(AN61)*(1+$E$85)^2</f>
        <v>2017.3332363694465</v>
      </c>
      <c r="AQ61" s="41"/>
      <c r="AR61" s="35">
        <f>(AP61)*(1+$E$85)^2</f>
        <v>2119.4607314606496</v>
      </c>
      <c r="AS61" s="41"/>
      <c r="AT61" s="35">
        <f>(AR61)*(1+$E$85)^2</f>
        <v>2226.7584309908448</v>
      </c>
      <c r="AU61" s="41"/>
      <c r="AV61" s="35">
        <f>(AT61)*(1+$E$85)^2</f>
        <v>2339.4880765597563</v>
      </c>
      <c r="AW61" s="41"/>
      <c r="AX61" s="35">
        <f>(AV61)*(1+$E$85)^2</f>
        <v>2457.924660435594</v>
      </c>
    </row>
    <row r="62" spans="1:50" ht="15.75">
      <c r="A62" s="86"/>
      <c r="B62" s="48"/>
      <c r="C62" s="77"/>
      <c r="D62" s="58"/>
      <c r="E62" s="250"/>
      <c r="F62" s="12"/>
      <c r="G62" s="271"/>
      <c r="H62" s="14"/>
      <c r="I62" s="14"/>
      <c r="J62" s="41"/>
      <c r="K62" s="65"/>
      <c r="L62" s="14"/>
      <c r="M62" s="14"/>
      <c r="N62" s="115"/>
      <c r="O62" s="14"/>
      <c r="P62" s="41"/>
      <c r="Q62" s="138"/>
      <c r="R62" s="138"/>
      <c r="S62" s="14"/>
      <c r="T62" s="138"/>
      <c r="U62" s="262"/>
      <c r="V62" s="185"/>
      <c r="W62" s="14"/>
      <c r="X62" s="200"/>
      <c r="Y62" s="14"/>
      <c r="Z62" s="14"/>
      <c r="AA62" s="14"/>
      <c r="AB62" s="41"/>
      <c r="AC62" s="230"/>
      <c r="AD62" s="120"/>
      <c r="AE62" s="41"/>
      <c r="AF62" s="120"/>
      <c r="AG62" s="41"/>
      <c r="AH62" s="120"/>
      <c r="AI62" s="41"/>
      <c r="AJ62" s="120"/>
      <c r="AK62" s="41"/>
      <c r="AL62" s="120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:50" ht="15.75">
      <c r="A63" s="151"/>
      <c r="B63" s="93"/>
      <c r="C63" s="94"/>
      <c r="D63" s="147"/>
      <c r="E63" s="253"/>
      <c r="F63" s="152"/>
      <c r="G63" s="105" t="s">
        <v>59</v>
      </c>
      <c r="H63" s="126"/>
      <c r="I63" s="126"/>
      <c r="J63" s="45"/>
      <c r="K63" s="153"/>
      <c r="L63" s="126"/>
      <c r="M63" s="126"/>
      <c r="N63" s="246"/>
      <c r="O63" s="126"/>
      <c r="P63" s="45"/>
      <c r="Q63" s="145"/>
      <c r="R63" s="145"/>
      <c r="S63" s="126"/>
      <c r="T63" s="145"/>
      <c r="U63" s="145"/>
      <c r="V63" s="45"/>
      <c r="W63" s="126"/>
      <c r="X63" s="196"/>
      <c r="Y63" s="126"/>
      <c r="Z63" s="126"/>
      <c r="AA63" s="126"/>
      <c r="AB63" s="45"/>
      <c r="AC63" s="229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</row>
    <row r="64" spans="1:50" ht="15.75">
      <c r="A64" s="86">
        <v>1999</v>
      </c>
      <c r="B64" s="274"/>
      <c r="C64" s="77"/>
      <c r="D64" s="58"/>
      <c r="E64" s="250">
        <v>40</v>
      </c>
      <c r="F64" s="12"/>
      <c r="G64" s="19" t="s">
        <v>36</v>
      </c>
      <c r="H64" s="14"/>
      <c r="I64" s="14"/>
      <c r="J64" s="41"/>
      <c r="K64" s="65"/>
      <c r="L64" s="14"/>
      <c r="M64" s="14"/>
      <c r="N64" s="116"/>
      <c r="O64" s="9"/>
      <c r="P64" s="41"/>
      <c r="Q64" s="140"/>
      <c r="R64" s="138"/>
      <c r="S64" s="14"/>
      <c r="T64" s="138"/>
      <c r="U64" s="139">
        <v>4950</v>
      </c>
      <c r="V64" s="35">
        <v>5000</v>
      </c>
      <c r="W64" s="139">
        <v>0</v>
      </c>
      <c r="X64" s="191"/>
      <c r="Y64" s="14"/>
      <c r="Z64" s="14"/>
      <c r="AA64" s="14"/>
      <c r="AB64" s="41"/>
      <c r="AC64" s="230">
        <v>1999</v>
      </c>
      <c r="AD64" s="41"/>
      <c r="AE64" s="120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276"/>
      <c r="AV64" s="41"/>
      <c r="AW64" s="41"/>
      <c r="AX64" s="41"/>
    </row>
    <row r="65" spans="1:50" s="7" customFormat="1" ht="15.75">
      <c r="A65" s="86"/>
      <c r="B65" s="48"/>
      <c r="C65" s="77"/>
      <c r="D65" s="58"/>
      <c r="E65" s="250"/>
      <c r="F65" s="12"/>
      <c r="G65" s="19"/>
      <c r="H65" s="14"/>
      <c r="I65" s="14"/>
      <c r="J65" s="41"/>
      <c r="K65" s="65"/>
      <c r="L65" s="14"/>
      <c r="M65" s="14"/>
      <c r="N65" s="116"/>
      <c r="O65" s="116"/>
      <c r="P65" s="41"/>
      <c r="Q65" s="138"/>
      <c r="R65" s="138"/>
      <c r="S65" s="14"/>
      <c r="T65" s="138"/>
      <c r="U65" s="138"/>
      <c r="V65" s="41"/>
      <c r="W65" s="14"/>
      <c r="X65" s="191"/>
      <c r="Y65" s="14"/>
      <c r="Z65" s="14"/>
      <c r="AA65" s="14"/>
      <c r="AB65" s="41"/>
      <c r="AC65" s="230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s="7" customFormat="1" ht="15.75">
      <c r="A66" s="151"/>
      <c r="B66" s="94"/>
      <c r="C66" s="94"/>
      <c r="D66" s="147"/>
      <c r="E66" s="253"/>
      <c r="F66" s="266"/>
      <c r="G66" s="263" t="s">
        <v>60</v>
      </c>
      <c r="H66" s="153"/>
      <c r="I66" s="153"/>
      <c r="J66" s="153"/>
      <c r="K66" s="153"/>
      <c r="L66" s="153"/>
      <c r="M66" s="153"/>
      <c r="N66" s="264">
        <v>1362.34</v>
      </c>
      <c r="O66" s="264"/>
      <c r="P66" s="153"/>
      <c r="Q66" s="265"/>
      <c r="R66" s="265"/>
      <c r="S66" s="153"/>
      <c r="T66" s="265"/>
      <c r="U66" s="265"/>
      <c r="V66" s="153"/>
      <c r="W66" s="153"/>
      <c r="X66" s="153"/>
      <c r="Y66" s="153"/>
      <c r="Z66" s="153"/>
      <c r="AA66" s="153"/>
      <c r="AB66" s="153"/>
      <c r="AC66" s="229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147"/>
    </row>
    <row r="67" spans="1:50" ht="15" hidden="1">
      <c r="A67" s="86">
        <v>2007</v>
      </c>
      <c r="B67" s="48">
        <v>5827</v>
      </c>
      <c r="C67" s="77"/>
      <c r="D67" s="58" t="s">
        <v>23</v>
      </c>
      <c r="E67" s="250"/>
      <c r="F67" s="12"/>
      <c r="G67" s="104" t="s">
        <v>38</v>
      </c>
      <c r="H67" s="14"/>
      <c r="I67" s="14"/>
      <c r="J67" s="41"/>
      <c r="K67" s="65"/>
      <c r="L67" s="14"/>
      <c r="M67" s="14"/>
      <c r="N67" s="116">
        <v>5827</v>
      </c>
      <c r="O67" s="116"/>
      <c r="P67" s="41"/>
      <c r="Q67" s="138"/>
      <c r="R67" s="138"/>
      <c r="S67" s="14"/>
      <c r="T67" s="138"/>
      <c r="U67" s="138"/>
      <c r="V67" s="41"/>
      <c r="W67" s="14"/>
      <c r="X67" s="191"/>
      <c r="Y67" s="14"/>
      <c r="Z67" s="14"/>
      <c r="AA67" s="14"/>
      <c r="AB67" s="41"/>
      <c r="AC67" s="230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</row>
    <row r="68" spans="1:50" s="7" customFormat="1" ht="15" hidden="1">
      <c r="A68" s="81"/>
      <c r="B68" s="48"/>
      <c r="C68" s="77"/>
      <c r="D68" s="58"/>
      <c r="E68" s="250"/>
      <c r="F68" s="12"/>
      <c r="G68" s="19"/>
      <c r="H68" s="14"/>
      <c r="I68" s="14"/>
      <c r="J68" s="41"/>
      <c r="K68" s="65"/>
      <c r="L68" s="14"/>
      <c r="M68" s="14"/>
      <c r="N68" s="116"/>
      <c r="O68" s="116"/>
      <c r="P68" s="41"/>
      <c r="Q68" s="138"/>
      <c r="R68" s="138"/>
      <c r="S68" s="14"/>
      <c r="T68" s="138"/>
      <c r="U68" s="138"/>
      <c r="V68" s="41"/>
      <c r="W68" s="14"/>
      <c r="X68" s="191"/>
      <c r="Y68" s="14"/>
      <c r="Z68" s="14"/>
      <c r="AA68" s="14"/>
      <c r="AB68" s="41"/>
      <c r="AC68" s="230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:50" s="7" customFormat="1" ht="15.75">
      <c r="A69" s="86">
        <v>2010</v>
      </c>
      <c r="B69" s="48">
        <v>43642.56</v>
      </c>
      <c r="C69" s="77"/>
      <c r="D69" s="58" t="s">
        <v>23</v>
      </c>
      <c r="E69" s="250">
        <v>20</v>
      </c>
      <c r="F69" s="12"/>
      <c r="G69" s="19" t="s">
        <v>55</v>
      </c>
      <c r="H69" s="14"/>
      <c r="I69" s="14"/>
      <c r="J69" s="41"/>
      <c r="K69" s="65"/>
      <c r="L69" s="14"/>
      <c r="M69" s="14"/>
      <c r="N69" s="149"/>
      <c r="O69" s="116"/>
      <c r="P69" s="41"/>
      <c r="Q69" s="150">
        <v>43642.56</v>
      </c>
      <c r="R69" s="138"/>
      <c r="S69" s="14"/>
      <c r="T69" s="138"/>
      <c r="U69" s="138"/>
      <c r="V69" s="41"/>
      <c r="W69" s="14"/>
      <c r="X69" s="191"/>
      <c r="Y69" s="14"/>
      <c r="Z69" s="14"/>
      <c r="AA69" s="14"/>
      <c r="AB69" s="41"/>
      <c r="AC69" s="230">
        <v>2010</v>
      </c>
      <c r="AD69" s="41"/>
      <c r="AE69" s="41"/>
      <c r="AF69" s="120"/>
      <c r="AG69" s="41"/>
      <c r="AH69" s="41"/>
      <c r="AI69" s="41"/>
      <c r="AJ69" s="41"/>
      <c r="AK69" s="41"/>
      <c r="AL69" s="35">
        <f>(B69)*(1+$E$85)^20</f>
        <v>71513.41631236</v>
      </c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:50" s="7" customFormat="1" ht="15.75">
      <c r="A70" s="86">
        <v>2011</v>
      </c>
      <c r="B70" s="274"/>
      <c r="C70" s="77"/>
      <c r="D70" s="58"/>
      <c r="E70" s="250"/>
      <c r="F70" s="12"/>
      <c r="G70" s="159" t="s">
        <v>67</v>
      </c>
      <c r="H70" s="14"/>
      <c r="I70" s="14"/>
      <c r="J70" s="41"/>
      <c r="K70" s="65"/>
      <c r="L70" s="14"/>
      <c r="M70" s="14"/>
      <c r="N70" s="149"/>
      <c r="O70" s="116"/>
      <c r="P70" s="41"/>
      <c r="Q70" s="157"/>
      <c r="R70" s="136"/>
      <c r="S70" s="14"/>
      <c r="T70" s="138"/>
      <c r="U70" s="138"/>
      <c r="V70" s="41"/>
      <c r="W70" s="14"/>
      <c r="X70" s="200">
        <v>0</v>
      </c>
      <c r="Y70" s="65"/>
      <c r="Z70" s="14"/>
      <c r="AA70" s="14"/>
      <c r="AB70" s="41"/>
      <c r="AC70" s="275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50" s="7" customFormat="1" ht="15.75">
      <c r="A71" s="81"/>
      <c r="B71" s="48"/>
      <c r="C71" s="77"/>
      <c r="D71" s="58"/>
      <c r="E71" s="250"/>
      <c r="F71" s="12"/>
      <c r="G71" s="19"/>
      <c r="H71" s="14"/>
      <c r="I71" s="14"/>
      <c r="J71" s="41"/>
      <c r="K71" s="65"/>
      <c r="L71" s="14"/>
      <c r="M71" s="14"/>
      <c r="N71" s="149"/>
      <c r="O71" s="116"/>
      <c r="P71" s="41"/>
      <c r="Q71" s="138"/>
      <c r="R71" s="138"/>
      <c r="S71" s="14"/>
      <c r="T71" s="138"/>
      <c r="U71" s="138"/>
      <c r="V71" s="41"/>
      <c r="W71" s="14"/>
      <c r="X71" s="191"/>
      <c r="Y71" s="14"/>
      <c r="Z71" s="14"/>
      <c r="AA71" s="14"/>
      <c r="AB71" s="41"/>
      <c r="AC71" s="230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50" ht="15.75">
      <c r="A72" s="151"/>
      <c r="B72" s="272"/>
      <c r="C72" s="273"/>
      <c r="D72" s="95"/>
      <c r="E72" s="253"/>
      <c r="F72" s="96"/>
      <c r="G72" s="107" t="s">
        <v>61</v>
      </c>
      <c r="H72" s="97"/>
      <c r="I72" s="97"/>
      <c r="J72" s="98"/>
      <c r="K72" s="99"/>
      <c r="L72" s="97"/>
      <c r="M72" s="97"/>
      <c r="N72" s="121"/>
      <c r="O72" s="121"/>
      <c r="P72" s="98"/>
      <c r="Q72" s="142"/>
      <c r="R72" s="142"/>
      <c r="S72" s="97"/>
      <c r="T72" s="142"/>
      <c r="U72" s="142"/>
      <c r="V72" s="98"/>
      <c r="W72" s="97">
        <v>4781</v>
      </c>
      <c r="X72" s="194"/>
      <c r="Y72" s="100"/>
      <c r="Z72" s="97">
        <v>6030.76</v>
      </c>
      <c r="AA72" s="97"/>
      <c r="AB72" s="98"/>
      <c r="AC72" s="239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</row>
    <row r="73" spans="1:50" ht="15.75">
      <c r="A73" s="86">
        <v>2021</v>
      </c>
      <c r="B73" s="61">
        <v>100000</v>
      </c>
      <c r="C73" s="79"/>
      <c r="D73" s="57" t="s">
        <v>17</v>
      </c>
      <c r="E73" s="250">
        <v>45</v>
      </c>
      <c r="F73" s="51"/>
      <c r="G73" s="19" t="s">
        <v>91</v>
      </c>
      <c r="H73" s="13"/>
      <c r="I73" s="13"/>
      <c r="J73" s="35"/>
      <c r="K73" s="43"/>
      <c r="L73" s="13"/>
      <c r="M73" s="13"/>
      <c r="N73" s="116">
        <v>16784.13</v>
      </c>
      <c r="O73" s="116">
        <v>16685</v>
      </c>
      <c r="P73" s="35">
        <v>11623</v>
      </c>
      <c r="Q73" s="139"/>
      <c r="R73" s="139"/>
      <c r="S73" s="13"/>
      <c r="T73" s="139"/>
      <c r="U73" s="139">
        <v>500</v>
      </c>
      <c r="V73" s="35">
        <v>400</v>
      </c>
      <c r="W73" s="13">
        <v>1900</v>
      </c>
      <c r="X73" s="189">
        <v>500</v>
      </c>
      <c r="Y73" s="83"/>
      <c r="Z73" s="13"/>
      <c r="AA73" s="13"/>
      <c r="AB73" s="35"/>
      <c r="AC73" s="235">
        <v>1999</v>
      </c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ht="15.75">
      <c r="A74" s="86">
        <v>2021</v>
      </c>
      <c r="B74" s="61">
        <v>3500</v>
      </c>
      <c r="C74" s="79"/>
      <c r="D74" s="57" t="s">
        <v>17</v>
      </c>
      <c r="E74" s="250">
        <v>25</v>
      </c>
      <c r="F74" s="51"/>
      <c r="G74" s="19" t="s">
        <v>92</v>
      </c>
      <c r="H74" s="13"/>
      <c r="I74" s="13"/>
      <c r="J74" s="35"/>
      <c r="K74" s="43"/>
      <c r="L74" s="13"/>
      <c r="M74" s="13"/>
      <c r="N74" s="116"/>
      <c r="O74" s="116"/>
      <c r="P74" s="35"/>
      <c r="Q74" s="139">
        <v>2103</v>
      </c>
      <c r="R74" s="139"/>
      <c r="S74" s="13"/>
      <c r="T74" s="139"/>
      <c r="U74" s="139"/>
      <c r="V74" s="35"/>
      <c r="W74" s="13"/>
      <c r="X74" s="189"/>
      <c r="Y74" s="83"/>
      <c r="Z74" s="13"/>
      <c r="AA74" s="13"/>
      <c r="AB74" s="35"/>
      <c r="AC74" s="235">
        <v>1999</v>
      </c>
      <c r="AD74" s="35"/>
      <c r="AE74" s="35"/>
      <c r="AF74" s="35">
        <f>(B74)*(1+$E$85)^3</f>
        <v>3769.1171874999995</v>
      </c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ht="15.75">
      <c r="A75" s="86">
        <v>2007</v>
      </c>
      <c r="B75" s="61">
        <v>2421</v>
      </c>
      <c r="C75" s="79"/>
      <c r="D75" s="57" t="s">
        <v>23</v>
      </c>
      <c r="E75" s="277">
        <v>25</v>
      </c>
      <c r="F75" s="130"/>
      <c r="G75" s="131" t="s">
        <v>39</v>
      </c>
      <c r="H75" s="39"/>
      <c r="I75" s="39"/>
      <c r="J75" s="40"/>
      <c r="K75" s="67"/>
      <c r="L75" s="39"/>
      <c r="M75" s="39"/>
      <c r="N75" s="122">
        <v>2421</v>
      </c>
      <c r="O75" s="122"/>
      <c r="P75" s="40"/>
      <c r="Q75" s="143"/>
      <c r="R75" s="143"/>
      <c r="S75" s="39"/>
      <c r="T75" s="143"/>
      <c r="U75" s="143"/>
      <c r="V75" s="40"/>
      <c r="W75" s="39"/>
      <c r="X75" s="192"/>
      <c r="Y75" s="85"/>
      <c r="Z75" s="39"/>
      <c r="AA75" s="39"/>
      <c r="AB75" s="40"/>
      <c r="AC75" s="235">
        <v>2007</v>
      </c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>
        <f>(B75)*(1+$E$85)^25</f>
        <v>4488.398662037933</v>
      </c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76" spans="1:50" ht="15.75">
      <c r="A76" s="87"/>
      <c r="B76" s="75"/>
      <c r="C76" s="80"/>
      <c r="D76" s="59"/>
      <c r="E76" s="251"/>
      <c r="F76" s="52"/>
      <c r="G76" s="20"/>
      <c r="H76" s="39"/>
      <c r="I76" s="39"/>
      <c r="J76" s="40"/>
      <c r="K76" s="67"/>
      <c r="L76" s="39"/>
      <c r="M76" s="39"/>
      <c r="N76" s="122"/>
      <c r="O76" s="122"/>
      <c r="P76" s="40"/>
      <c r="Q76" s="143"/>
      <c r="R76" s="143"/>
      <c r="S76" s="39"/>
      <c r="T76" s="143"/>
      <c r="U76" s="143"/>
      <c r="V76" s="40"/>
      <c r="W76" s="39"/>
      <c r="X76" s="192"/>
      <c r="Y76" s="85"/>
      <c r="Z76" s="39"/>
      <c r="AA76" s="39"/>
      <c r="AB76" s="40"/>
      <c r="AC76" s="238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</row>
    <row r="77" spans="1:50" ht="15.75">
      <c r="A77" s="168"/>
      <c r="B77" s="169"/>
      <c r="C77" s="170"/>
      <c r="D77" s="171"/>
      <c r="E77" s="256"/>
      <c r="F77" s="172"/>
      <c r="G77" s="179"/>
      <c r="H77" s="173"/>
      <c r="I77" s="173"/>
      <c r="J77" s="174"/>
      <c r="K77" s="175"/>
      <c r="L77" s="173"/>
      <c r="M77" s="173"/>
      <c r="N77" s="176"/>
      <c r="O77" s="176"/>
      <c r="P77" s="174"/>
      <c r="Q77" s="177"/>
      <c r="R77" s="177"/>
      <c r="S77" s="173"/>
      <c r="T77" s="177"/>
      <c r="U77" s="177">
        <v>2231.52</v>
      </c>
      <c r="V77" s="174"/>
      <c r="W77" s="173">
        <v>0</v>
      </c>
      <c r="X77" s="197"/>
      <c r="Y77" s="178"/>
      <c r="Z77" s="173"/>
      <c r="AA77" s="173"/>
      <c r="AB77" s="174"/>
      <c r="AC77" s="240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</row>
    <row r="78" spans="1:50" ht="15.75">
      <c r="A78" s="24"/>
      <c r="B78" s="88"/>
      <c r="C78" s="88"/>
      <c r="D78" s="88"/>
      <c r="E78" s="250"/>
      <c r="F78" s="12"/>
      <c r="G78" s="22"/>
      <c r="H78" s="45"/>
      <c r="I78" s="45"/>
      <c r="J78" s="45"/>
      <c r="K78" s="65"/>
      <c r="L78" s="45"/>
      <c r="M78" s="45"/>
      <c r="N78" s="45"/>
      <c r="O78" s="126"/>
      <c r="P78" s="45"/>
      <c r="Q78" s="145"/>
      <c r="R78" s="145"/>
      <c r="S78" s="126"/>
      <c r="T78" s="138"/>
      <c r="U78" s="138"/>
      <c r="V78" s="41"/>
      <c r="W78" s="14"/>
      <c r="X78" s="191"/>
      <c r="Y78" s="14"/>
      <c r="Z78" s="14"/>
      <c r="AA78" s="14"/>
      <c r="AB78" s="41"/>
      <c r="AC78" s="230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</row>
    <row r="79" spans="1:50" ht="15.75">
      <c r="A79" s="25"/>
      <c r="B79" s="89"/>
      <c r="C79" s="89"/>
      <c r="D79" s="89"/>
      <c r="E79" s="257"/>
      <c r="F79" s="7"/>
      <c r="G79" s="9"/>
      <c r="H79" s="35"/>
      <c r="I79" s="35"/>
      <c r="J79" s="35"/>
      <c r="K79" s="43"/>
      <c r="L79" s="35"/>
      <c r="M79" s="35"/>
      <c r="N79" s="35"/>
      <c r="O79" s="13"/>
      <c r="P79" s="35"/>
      <c r="Q79" s="139"/>
      <c r="R79" s="139"/>
      <c r="S79" s="13"/>
      <c r="T79" s="139"/>
      <c r="U79" s="139"/>
      <c r="V79" s="35"/>
      <c r="W79" s="13"/>
      <c r="X79" s="189"/>
      <c r="Y79" s="13"/>
      <c r="Z79" s="13"/>
      <c r="AA79" s="13"/>
      <c r="AB79" s="35"/>
      <c r="AC79" s="2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</row>
    <row r="80" spans="1:50" ht="15.75">
      <c r="A80" s="7"/>
      <c r="B80" s="89"/>
      <c r="C80" s="89"/>
      <c r="D80" s="89"/>
      <c r="E80" s="257"/>
      <c r="F80" s="7"/>
      <c r="G80" s="20" t="s">
        <v>8</v>
      </c>
      <c r="H80" s="37">
        <f aca="true" t="shared" si="12" ref="H80:AB80">SUM(H25:H78)</f>
        <v>0</v>
      </c>
      <c r="I80" s="37">
        <f t="shared" si="12"/>
        <v>0</v>
      </c>
      <c r="J80" s="36">
        <f t="shared" si="12"/>
        <v>76350</v>
      </c>
      <c r="K80" s="36">
        <f t="shared" si="12"/>
        <v>0</v>
      </c>
      <c r="L80" s="37">
        <f t="shared" si="12"/>
        <v>0</v>
      </c>
      <c r="M80" s="37">
        <f t="shared" si="12"/>
        <v>2587.72</v>
      </c>
      <c r="N80" s="37">
        <f t="shared" si="12"/>
        <v>355529.6500000001</v>
      </c>
      <c r="O80" s="36">
        <f t="shared" si="12"/>
        <v>78828.08</v>
      </c>
      <c r="P80" s="37">
        <f t="shared" si="12"/>
        <v>92323</v>
      </c>
      <c r="Q80" s="137">
        <f t="shared" si="12"/>
        <v>119326.74</v>
      </c>
      <c r="R80" s="137">
        <f t="shared" si="12"/>
        <v>5362</v>
      </c>
      <c r="S80" s="36">
        <f t="shared" si="12"/>
        <v>45361</v>
      </c>
      <c r="T80" s="137">
        <f t="shared" si="12"/>
        <v>17880.059999999998</v>
      </c>
      <c r="U80" s="137">
        <f t="shared" si="12"/>
        <v>17030.93</v>
      </c>
      <c r="V80" s="37">
        <f t="shared" si="12"/>
        <v>52879.13</v>
      </c>
      <c r="W80" s="36">
        <f t="shared" si="12"/>
        <v>103671.97</v>
      </c>
      <c r="X80" s="190">
        <f t="shared" si="12"/>
        <v>174099.56</v>
      </c>
      <c r="Y80" s="37">
        <f t="shared" si="12"/>
        <v>122077.5</v>
      </c>
      <c r="Z80" s="37">
        <f t="shared" si="12"/>
        <v>16912.25</v>
      </c>
      <c r="AA80" s="37">
        <f t="shared" si="12"/>
        <v>79656.77624868011</v>
      </c>
      <c r="AB80" s="37">
        <f t="shared" si="12"/>
        <v>0</v>
      </c>
      <c r="AC80" s="236"/>
      <c r="AD80" s="37">
        <f aca="true" t="shared" si="13" ref="AD80:AX80">SUM(AD25:AD78)</f>
        <v>44000</v>
      </c>
      <c r="AE80" s="37">
        <f t="shared" si="13"/>
        <v>192046.29509322954</v>
      </c>
      <c r="AF80" s="37">
        <f t="shared" si="13"/>
        <v>75869.13275367439</v>
      </c>
      <c r="AG80" s="37">
        <f t="shared" si="13"/>
        <v>269457.21598779294</v>
      </c>
      <c r="AH80" s="37">
        <f t="shared" si="13"/>
        <v>287185.87549354427</v>
      </c>
      <c r="AI80" s="37">
        <f t="shared" si="13"/>
        <v>404602.940611303</v>
      </c>
      <c r="AJ80" s="37">
        <f t="shared" si="13"/>
        <v>64289.88778504865</v>
      </c>
      <c r="AK80" s="37">
        <f t="shared" si="13"/>
        <v>5230.217316140133</v>
      </c>
      <c r="AL80" s="37">
        <f t="shared" si="13"/>
        <v>87863.2720698755</v>
      </c>
      <c r="AM80" s="37">
        <f t="shared" si="13"/>
        <v>30452.359026170772</v>
      </c>
      <c r="AN80" s="37">
        <f t="shared" si="13"/>
        <v>28996.583324481628</v>
      </c>
      <c r="AO80" s="37">
        <f t="shared" si="13"/>
        <v>156264.746921855</v>
      </c>
      <c r="AP80" s="37">
        <f t="shared" si="13"/>
        <v>7934.844063053153</v>
      </c>
      <c r="AQ80" s="37">
        <f t="shared" si="13"/>
        <v>304209.6711816883</v>
      </c>
      <c r="AR80" s="37">
        <f t="shared" si="13"/>
        <v>8215.925827320629</v>
      </c>
      <c r="AS80" s="37">
        <f t="shared" si="13"/>
        <v>6248.876723256478</v>
      </c>
      <c r="AT80" s="37">
        <f t="shared" si="13"/>
        <v>33041.66472794595</v>
      </c>
      <c r="AU80" s="37">
        <f t="shared" si="13"/>
        <v>184366.5371427512</v>
      </c>
      <c r="AV80" s="37">
        <f t="shared" si="13"/>
        <v>98005.39605843084</v>
      </c>
      <c r="AW80" s="37">
        <f t="shared" si="13"/>
        <v>92179.01920187607</v>
      </c>
      <c r="AX80" s="37">
        <f t="shared" si="13"/>
        <v>74813.54835400119</v>
      </c>
    </row>
    <row r="81" spans="1:50" ht="15.75">
      <c r="A81" s="7"/>
      <c r="B81" s="89"/>
      <c r="C81" s="89"/>
      <c r="D81" s="89"/>
      <c r="E81" s="257"/>
      <c r="F81" s="7"/>
      <c r="G81" s="17"/>
      <c r="H81" s="41"/>
      <c r="I81" s="41"/>
      <c r="J81" s="41"/>
      <c r="K81" s="65"/>
      <c r="L81" s="41"/>
      <c r="M81" s="41"/>
      <c r="N81" s="41"/>
      <c r="O81" s="14"/>
      <c r="P81" s="41"/>
      <c r="Q81" s="138"/>
      <c r="R81" s="138"/>
      <c r="S81" s="14"/>
      <c r="T81" s="138"/>
      <c r="U81" s="138"/>
      <c r="V81" s="41"/>
      <c r="W81" s="14"/>
      <c r="X81" s="191"/>
      <c r="Y81" s="14"/>
      <c r="Z81" s="14"/>
      <c r="AA81" s="14"/>
      <c r="AB81" s="41"/>
      <c r="AC81" s="230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</row>
    <row r="82" spans="1:50" ht="16.5" thickBot="1">
      <c r="A82" s="7"/>
      <c r="B82" s="7"/>
      <c r="C82" s="7"/>
      <c r="D82" s="7"/>
      <c r="E82" s="257"/>
      <c r="F82" s="7"/>
      <c r="G82" s="23" t="s">
        <v>9</v>
      </c>
      <c r="H82" s="110">
        <f aca="true" t="shared" si="14" ref="H82:S82">H21-H80</f>
        <v>54232.79</v>
      </c>
      <c r="I82" s="110">
        <f t="shared" si="14"/>
        <v>94499.85</v>
      </c>
      <c r="J82" s="110">
        <f t="shared" si="14"/>
        <v>44772.8</v>
      </c>
      <c r="K82" s="111">
        <f t="shared" si="14"/>
        <v>54756.8</v>
      </c>
      <c r="L82" s="110">
        <f t="shared" si="14"/>
        <v>69051.8</v>
      </c>
      <c r="M82" s="110">
        <f t="shared" si="14"/>
        <v>107154.08</v>
      </c>
      <c r="N82" s="110">
        <f t="shared" si="14"/>
        <v>200964.2199999999</v>
      </c>
      <c r="O82" s="128">
        <f t="shared" si="14"/>
        <v>276850.2699999999</v>
      </c>
      <c r="P82" s="156">
        <f t="shared" si="14"/>
        <v>276733</v>
      </c>
      <c r="Q82" s="146">
        <f t="shared" si="14"/>
        <v>203793.41000000003</v>
      </c>
      <c r="R82" s="146">
        <f t="shared" si="14"/>
        <v>234604.62000000002</v>
      </c>
      <c r="S82" s="47">
        <f t="shared" si="14"/>
        <v>320202.2866666667</v>
      </c>
      <c r="T82" s="146">
        <v>215353.85</v>
      </c>
      <c r="U82" s="146">
        <f>U21-U80</f>
        <v>240467.26</v>
      </c>
      <c r="V82" s="37">
        <f>V21-V80</f>
        <v>239490.306475</v>
      </c>
      <c r="W82" s="36">
        <f>W21-W80</f>
        <v>199168.00999999998</v>
      </c>
      <c r="X82" s="198">
        <v>99125</v>
      </c>
      <c r="Y82" s="203">
        <v>143400</v>
      </c>
      <c r="Z82" s="47">
        <f>Z21-Z80</f>
        <v>161700.402205</v>
      </c>
      <c r="AA82" s="47">
        <f>AA21-AA80</f>
        <v>231005.47615742238</v>
      </c>
      <c r="AB82" s="46">
        <f>AB21-AB80</f>
        <v>28065.838325</v>
      </c>
      <c r="AC82" s="241"/>
      <c r="AD82" s="207">
        <f aca="true" t="shared" si="15" ref="AD82:AX82">AD21-AD80</f>
        <v>130404.46000000002</v>
      </c>
      <c r="AE82" s="207">
        <f t="shared" si="15"/>
        <v>117711.11319105022</v>
      </c>
      <c r="AF82" s="46">
        <f t="shared" si="15"/>
        <v>123207.10918812583</v>
      </c>
      <c r="AG82" s="207">
        <f t="shared" si="15"/>
        <v>137136.29708895623</v>
      </c>
      <c r="AH82" s="207">
        <f t="shared" si="15"/>
        <v>135443.05830345536</v>
      </c>
      <c r="AI82" s="207">
        <f t="shared" si="15"/>
        <v>18431.176006272726</v>
      </c>
      <c r="AJ82" s="207">
        <f t="shared" si="15"/>
        <v>43853.84990526061</v>
      </c>
      <c r="AK82" s="207">
        <f t="shared" si="15"/>
        <v>130609.65600676625</v>
      </c>
      <c r="AL82" s="207">
        <f t="shared" si="15"/>
        <v>137036.53565424698</v>
      </c>
      <c r="AM82" s="207">
        <f t="shared" si="15"/>
        <v>203219.03326751085</v>
      </c>
      <c r="AN82" s="207">
        <f t="shared" si="15"/>
        <v>273312.6303991202</v>
      </c>
      <c r="AO82" s="207">
        <f t="shared" si="15"/>
        <v>218595.3432997717</v>
      </c>
      <c r="AP82" s="207">
        <f t="shared" si="15"/>
        <v>314764.315154715</v>
      </c>
      <c r="AQ82" s="207">
        <f t="shared" si="15"/>
        <v>117290.25911599025</v>
      </c>
      <c r="AR82" s="207">
        <f t="shared" si="15"/>
        <v>218375.6672282485</v>
      </c>
      <c r="AS82" s="207">
        <f t="shared" si="15"/>
        <v>324223.8640588567</v>
      </c>
      <c r="AT82" s="207">
        <f t="shared" si="15"/>
        <v>406077.39389342035</v>
      </c>
      <c r="AU82" s="46">
        <f t="shared" si="15"/>
        <v>339553.65715951566</v>
      </c>
      <c r="AV82" s="46">
        <f t="shared" si="15"/>
        <v>362264.47872298403</v>
      </c>
      <c r="AW82" s="46">
        <f t="shared" si="15"/>
        <v>393881.1938063985</v>
      </c>
      <c r="AX82" s="46">
        <f t="shared" si="15"/>
        <v>445947.34934783913</v>
      </c>
    </row>
    <row r="83" spans="5:50" ht="16.5" thickTop="1">
      <c r="E83" s="258"/>
      <c r="H83" s="62"/>
      <c r="I83" s="62"/>
      <c r="J83" s="62"/>
      <c r="K83" s="62"/>
      <c r="L83" s="62"/>
      <c r="M83" s="62"/>
      <c r="N83" s="62"/>
      <c r="O83" s="43"/>
      <c r="P83" s="62"/>
      <c r="Q83" s="129"/>
      <c r="R83" s="164"/>
      <c r="S83" s="43"/>
      <c r="T83" s="164"/>
      <c r="U83" s="164"/>
      <c r="V83" s="43"/>
      <c r="W83" s="62"/>
      <c r="X83" s="62"/>
      <c r="Y83" s="62"/>
      <c r="Z83" s="62"/>
      <c r="AA83" s="62"/>
      <c r="AB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</row>
    <row r="84" spans="1:22" ht="15.75">
      <c r="A84" s="2" t="s">
        <v>79</v>
      </c>
      <c r="E84" s="259">
        <v>0.15732694209427536</v>
      </c>
      <c r="R84" s="132"/>
      <c r="S84" s="7"/>
      <c r="T84" s="132"/>
      <c r="U84" s="132"/>
      <c r="V84" s="7"/>
    </row>
    <row r="85" spans="1:12" ht="15.75">
      <c r="A85" s="5" t="s">
        <v>11</v>
      </c>
      <c r="E85" s="70">
        <v>0.025</v>
      </c>
      <c r="F85" s="28"/>
      <c r="L85" s="102" t="s">
        <v>43</v>
      </c>
    </row>
    <row r="86" spans="1:6" ht="15.75">
      <c r="A86" s="5" t="s">
        <v>12</v>
      </c>
      <c r="E86" s="70">
        <v>0.0005</v>
      </c>
      <c r="F86" s="28"/>
    </row>
    <row r="87" spans="7:30" ht="15.75">
      <c r="G87" t="s">
        <v>75</v>
      </c>
      <c r="Y87" t="s">
        <v>75</v>
      </c>
      <c r="AD87" s="69"/>
    </row>
    <row r="88" spans="7:50" ht="15.75">
      <c r="G88" t="s">
        <v>76</v>
      </c>
      <c r="Z88" t="s">
        <v>76</v>
      </c>
      <c r="AD88" s="69">
        <v>452</v>
      </c>
      <c r="AE88">
        <f>ROUND(AD88+(AD88*$E$85),0)</f>
        <v>463</v>
      </c>
      <c r="AF88">
        <f aca="true" t="shared" si="16" ref="AF88:AX88">ROUND(AE88+(AE88*$E$85),0)</f>
        <v>475</v>
      </c>
      <c r="AG88">
        <f t="shared" si="16"/>
        <v>487</v>
      </c>
      <c r="AH88">
        <f t="shared" si="16"/>
        <v>499</v>
      </c>
      <c r="AI88">
        <f t="shared" si="16"/>
        <v>511</v>
      </c>
      <c r="AJ88">
        <f t="shared" si="16"/>
        <v>524</v>
      </c>
      <c r="AK88">
        <f t="shared" si="16"/>
        <v>537</v>
      </c>
      <c r="AL88">
        <f t="shared" si="16"/>
        <v>550</v>
      </c>
      <c r="AM88">
        <f t="shared" si="16"/>
        <v>564</v>
      </c>
      <c r="AN88">
        <f t="shared" si="16"/>
        <v>578</v>
      </c>
      <c r="AO88">
        <f t="shared" si="16"/>
        <v>592</v>
      </c>
      <c r="AP88">
        <f t="shared" si="16"/>
        <v>607</v>
      </c>
      <c r="AQ88">
        <f t="shared" si="16"/>
        <v>622</v>
      </c>
      <c r="AR88">
        <f t="shared" si="16"/>
        <v>638</v>
      </c>
      <c r="AS88">
        <f t="shared" si="16"/>
        <v>654</v>
      </c>
      <c r="AT88">
        <f t="shared" si="16"/>
        <v>670</v>
      </c>
      <c r="AU88">
        <f t="shared" si="16"/>
        <v>687</v>
      </c>
      <c r="AV88">
        <f t="shared" si="16"/>
        <v>704</v>
      </c>
      <c r="AW88">
        <f t="shared" si="16"/>
        <v>722</v>
      </c>
      <c r="AX88">
        <f t="shared" si="16"/>
        <v>740</v>
      </c>
    </row>
    <row r="89" spans="7:50" ht="15.75">
      <c r="G89" t="s">
        <v>77</v>
      </c>
      <c r="Z89" t="s">
        <v>77</v>
      </c>
      <c r="AD89" s="69">
        <v>506</v>
      </c>
      <c r="AE89">
        <f>ROUND(AD89+(AD89*$E$85),0)</f>
        <v>519</v>
      </c>
      <c r="AF89">
        <f aca="true" t="shared" si="17" ref="AF89:AX89">ROUND(AE89+(AE89*$E$85),0)</f>
        <v>532</v>
      </c>
      <c r="AG89">
        <f t="shared" si="17"/>
        <v>545</v>
      </c>
      <c r="AH89">
        <f t="shared" si="17"/>
        <v>559</v>
      </c>
      <c r="AI89">
        <f t="shared" si="17"/>
        <v>573</v>
      </c>
      <c r="AJ89">
        <f t="shared" si="17"/>
        <v>587</v>
      </c>
      <c r="AK89">
        <f t="shared" si="17"/>
        <v>602</v>
      </c>
      <c r="AL89">
        <f t="shared" si="17"/>
        <v>617</v>
      </c>
      <c r="AM89">
        <f t="shared" si="17"/>
        <v>632</v>
      </c>
      <c r="AN89">
        <f t="shared" si="17"/>
        <v>648</v>
      </c>
      <c r="AO89">
        <f t="shared" si="17"/>
        <v>664</v>
      </c>
      <c r="AP89">
        <f t="shared" si="17"/>
        <v>681</v>
      </c>
      <c r="AQ89">
        <f t="shared" si="17"/>
        <v>698</v>
      </c>
      <c r="AR89">
        <f t="shared" si="17"/>
        <v>715</v>
      </c>
      <c r="AS89">
        <f t="shared" si="17"/>
        <v>733</v>
      </c>
      <c r="AT89">
        <f t="shared" si="17"/>
        <v>751</v>
      </c>
      <c r="AU89">
        <f t="shared" si="17"/>
        <v>770</v>
      </c>
      <c r="AV89">
        <f t="shared" si="17"/>
        <v>789</v>
      </c>
      <c r="AW89">
        <f t="shared" si="17"/>
        <v>809</v>
      </c>
      <c r="AX89">
        <f t="shared" si="17"/>
        <v>829</v>
      </c>
    </row>
    <row r="90" ht="15.75">
      <c r="E90" s="258"/>
    </row>
    <row r="91" spans="5:7" ht="15.75">
      <c r="E91" s="258"/>
      <c r="G91" s="1"/>
    </row>
    <row r="92" spans="5:7" ht="15">
      <c r="E92" s="258"/>
      <c r="G92" s="1"/>
    </row>
    <row r="93" spans="5:7" ht="15">
      <c r="E93" s="258"/>
      <c r="G93" s="1"/>
    </row>
    <row r="94" ht="15">
      <c r="E94" s="258"/>
    </row>
    <row r="95" ht="15">
      <c r="E95" s="258"/>
    </row>
    <row r="96" ht="15">
      <c r="E96" s="258"/>
    </row>
    <row r="97" ht="15">
      <c r="E97" s="258"/>
    </row>
    <row r="98" ht="15">
      <c r="E98" s="258"/>
    </row>
    <row r="99" ht="15">
      <c r="E99" s="258"/>
    </row>
    <row r="100" ht="15">
      <c r="E100" s="258"/>
    </row>
    <row r="101" ht="15">
      <c r="E101" s="258"/>
    </row>
    <row r="102" ht="15">
      <c r="E102" s="258"/>
    </row>
    <row r="103" ht="15">
      <c r="E103" s="258"/>
    </row>
    <row r="104" ht="15">
      <c r="E104" s="258"/>
    </row>
    <row r="105" spans="1:5" ht="15">
      <c r="A105" s="50" t="e">
        <f ca="1">CELL("filename")</f>
        <v>#N/A</v>
      </c>
      <c r="E105" s="258"/>
    </row>
    <row r="106" ht="15">
      <c r="E106" s="258"/>
    </row>
    <row r="107" ht="15">
      <c r="E107" s="258"/>
    </row>
    <row r="108" ht="15">
      <c r="E108" s="258"/>
    </row>
    <row r="109" ht="15">
      <c r="E109" s="258"/>
    </row>
    <row r="110" ht="15">
      <c r="E110" s="258"/>
    </row>
    <row r="111" ht="15">
      <c r="E111" s="258"/>
    </row>
    <row r="112" ht="15">
      <c r="E112" s="258"/>
    </row>
    <row r="113" ht="15">
      <c r="E113" s="258"/>
    </row>
    <row r="114" ht="15">
      <c r="E114" s="258"/>
    </row>
    <row r="115" ht="15">
      <c r="E115" s="258"/>
    </row>
    <row r="116" ht="15">
      <c r="E116" s="258"/>
    </row>
    <row r="117" ht="15">
      <c r="E117" s="258"/>
    </row>
    <row r="118" ht="15">
      <c r="E118" s="258"/>
    </row>
    <row r="119" ht="15">
      <c r="E119" s="258"/>
    </row>
    <row r="120" ht="15">
      <c r="E120" s="258"/>
    </row>
    <row r="121" ht="15">
      <c r="E121" s="258"/>
    </row>
    <row r="122" ht="15">
      <c r="E122" s="258"/>
    </row>
    <row r="123" ht="15">
      <c r="E123" s="258"/>
    </row>
    <row r="124" ht="15">
      <c r="E124" s="258"/>
    </row>
    <row r="125" ht="15">
      <c r="E125" s="258"/>
    </row>
    <row r="126" ht="15">
      <c r="E126" s="258"/>
    </row>
    <row r="127" ht="15">
      <c r="E127" s="258"/>
    </row>
    <row r="128" ht="15">
      <c r="E128" s="258"/>
    </row>
    <row r="129" ht="15">
      <c r="E129" s="258"/>
    </row>
    <row r="130" ht="15">
      <c r="E130" s="258"/>
    </row>
    <row r="131" ht="15">
      <c r="E131" s="258"/>
    </row>
    <row r="132" ht="15">
      <c r="E132" s="258"/>
    </row>
    <row r="133" ht="15">
      <c r="E133" s="258"/>
    </row>
    <row r="134" ht="15">
      <c r="E134" s="258"/>
    </row>
    <row r="135" ht="15">
      <c r="E135" s="258"/>
    </row>
    <row r="136" ht="15">
      <c r="E136" s="258"/>
    </row>
    <row r="137" ht="15">
      <c r="E137" s="258"/>
    </row>
    <row r="138" ht="15">
      <c r="E138" s="258"/>
    </row>
    <row r="139" ht="15">
      <c r="E139" s="258"/>
    </row>
    <row r="140" ht="15">
      <c r="E140" s="258"/>
    </row>
    <row r="141" ht="15">
      <c r="E141" s="258"/>
    </row>
    <row r="142" ht="15">
      <c r="E142" s="258"/>
    </row>
    <row r="143" ht="15">
      <c r="E143" s="258"/>
    </row>
    <row r="144" ht="15">
      <c r="E144" s="258"/>
    </row>
    <row r="145" ht="15">
      <c r="E145" s="258"/>
    </row>
    <row r="146" ht="15">
      <c r="E146" s="258"/>
    </row>
    <row r="147" ht="15">
      <c r="E147" s="258"/>
    </row>
    <row r="148" ht="15">
      <c r="E148" s="258"/>
    </row>
    <row r="149" ht="15">
      <c r="E149" s="258"/>
    </row>
    <row r="150" ht="15">
      <c r="E150" s="258"/>
    </row>
    <row r="151" ht="15">
      <c r="E151" s="258"/>
    </row>
    <row r="152" ht="15">
      <c r="E152" s="258"/>
    </row>
    <row r="153" ht="15">
      <c r="E153" s="258"/>
    </row>
    <row r="154" ht="15">
      <c r="E154" s="258"/>
    </row>
    <row r="155" ht="15">
      <c r="E155" s="258"/>
    </row>
    <row r="156" ht="15">
      <c r="E156" s="258"/>
    </row>
    <row r="157" ht="15">
      <c r="E157" s="258"/>
    </row>
    <row r="158" ht="15">
      <c r="E158" s="258"/>
    </row>
    <row r="159" ht="15">
      <c r="E159" s="258"/>
    </row>
    <row r="160" ht="15">
      <c r="E160" s="258"/>
    </row>
    <row r="161" ht="15">
      <c r="E161" s="258"/>
    </row>
    <row r="162" ht="15">
      <c r="E162" s="258"/>
    </row>
    <row r="163" ht="15">
      <c r="E163" s="258"/>
    </row>
    <row r="164" ht="15">
      <c r="E164" s="258"/>
    </row>
    <row r="165" ht="15">
      <c r="E165" s="258"/>
    </row>
    <row r="166" ht="15">
      <c r="E166" s="258"/>
    </row>
    <row r="167" ht="15">
      <c r="E167" s="258"/>
    </row>
    <row r="168" ht="15">
      <c r="E168" s="258"/>
    </row>
    <row r="169" ht="15">
      <c r="E169" s="258"/>
    </row>
    <row r="170" ht="15">
      <c r="E170" s="258"/>
    </row>
    <row r="171" ht="15">
      <c r="E171" s="258"/>
    </row>
    <row r="172" ht="15">
      <c r="E172" s="258"/>
    </row>
    <row r="173" ht="15">
      <c r="E173" s="258"/>
    </row>
    <row r="174" ht="15">
      <c r="E174" s="258"/>
    </row>
    <row r="175" ht="15">
      <c r="E175" s="258"/>
    </row>
    <row r="176" ht="15">
      <c r="E176" s="258"/>
    </row>
    <row r="177" ht="15">
      <c r="E177" s="258"/>
    </row>
    <row r="178" ht="15">
      <c r="E178" s="258"/>
    </row>
    <row r="179" ht="15">
      <c r="E179" s="258"/>
    </row>
    <row r="180" ht="15">
      <c r="E180" s="258"/>
    </row>
    <row r="181" ht="15">
      <c r="E181" s="258"/>
    </row>
    <row r="182" ht="15">
      <c r="E182" s="258"/>
    </row>
    <row r="183" ht="15">
      <c r="E183" s="258"/>
    </row>
    <row r="184" ht="15">
      <c r="E184" s="258"/>
    </row>
    <row r="185" ht="15">
      <c r="E185" s="258"/>
    </row>
    <row r="186" ht="15">
      <c r="E186" s="258"/>
    </row>
    <row r="187" ht="15">
      <c r="E187" s="258"/>
    </row>
    <row r="188" ht="15">
      <c r="E188" s="258"/>
    </row>
    <row r="189" ht="15">
      <c r="E189" s="258"/>
    </row>
    <row r="190" ht="15">
      <c r="E190" s="258"/>
    </row>
    <row r="191" ht="15">
      <c r="E191" s="258"/>
    </row>
    <row r="192" ht="15">
      <c r="E192" s="258"/>
    </row>
    <row r="193" ht="15">
      <c r="E193" s="258"/>
    </row>
    <row r="194" ht="15">
      <c r="E194" s="258"/>
    </row>
    <row r="195" ht="15">
      <c r="E195" s="258"/>
    </row>
  </sheetData>
  <sheetProtection/>
  <printOptions/>
  <pageMargins left="0" right="0" top="0.5" bottom="0.5" header="0.3" footer="0.3"/>
  <pageSetup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:A16384"/>
    </sheetView>
  </sheetViews>
  <sheetFormatPr defaultColWidth="8.88671875" defaultRowHeight="15.75"/>
  <cols>
    <col min="1" max="1" width="9.21484375" style="242" customWidth="1"/>
    <col min="2" max="2" width="64.5546875" style="0" customWidth="1"/>
  </cols>
  <sheetData>
    <row r="1" ht="15">
      <c r="A1" s="242" t="s">
        <v>88</v>
      </c>
    </row>
    <row r="3" spans="1:2" ht="15">
      <c r="A3" s="242">
        <v>1</v>
      </c>
      <c r="B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Wildernest Property Mgmt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Perlman</dc:creator>
  <cp:keywords/>
  <dc:description/>
  <cp:lastModifiedBy>Josh Shramo</cp:lastModifiedBy>
  <cp:lastPrinted>2021-08-09T22:08:10Z</cp:lastPrinted>
  <dcterms:created xsi:type="dcterms:W3CDTF">1998-07-16T16:09:35Z</dcterms:created>
  <dcterms:modified xsi:type="dcterms:W3CDTF">2021-08-31T00:53:25Z</dcterms:modified>
  <cp:category/>
  <cp:version/>
  <cp:contentType/>
  <cp:contentStatus/>
</cp:coreProperties>
</file>